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4Jg3vDEJxWxu66OFJC2/Ixb5NQR/rQo7EN8rLtF17iTwBzd0Sze71KzHSceYv4SC7kRyxmT9T6fQZw0Wokrehg==" workbookSaltValue="OGf13+Zy0IfghQHrwFITK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B17" i="6" s="1"/>
  <c r="E15" i="2"/>
  <c r="E16" i="2"/>
  <c r="E17" i="2"/>
  <c r="C16" i="2"/>
  <c r="D16" i="2" s="1"/>
  <c r="C17" i="2"/>
  <c r="D17" i="2" s="1"/>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AY12" i="8"/>
  <c r="BB11" i="8"/>
  <c r="BA11" i="8"/>
  <c r="AZ11" i="8"/>
  <c r="AY11" i="8"/>
  <c r="BB9" i="8"/>
  <c r="BA9" i="8"/>
  <c r="BD9" i="8" s="1"/>
  <c r="AY9" i="8"/>
  <c r="AY13"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BF17" i="8"/>
  <c r="AB19" i="19"/>
  <c r="ER19" i="8"/>
  <c r="EL19" i="8"/>
  <c r="AC11" i="11"/>
  <c r="EQ19" i="8"/>
  <c r="AP12" i="11"/>
  <c r="Y11" i="11"/>
  <c r="AT18" i="17"/>
  <c r="N10" i="11"/>
  <c r="N9" i="11"/>
  <c r="T10" i="21"/>
  <c r="N11" i="11"/>
  <c r="ES19" i="8"/>
  <c r="S19" i="13"/>
  <c r="AG19" i="19"/>
  <c r="F9" i="11"/>
  <c r="CI19" i="8"/>
  <c r="AE19" i="8"/>
  <c r="EP19" i="8"/>
  <c r="ER19" i="13"/>
  <c r="AL13" i="16"/>
  <c r="S13" i="16"/>
  <c r="H18" i="16"/>
  <c r="P13" i="16"/>
  <c r="AN13" i="20"/>
  <c r="Z13" i="17"/>
  <c r="F9" i="2"/>
  <c r="M13" i="2"/>
  <c r="C17" i="6"/>
  <c r="E11" i="6"/>
  <c r="AC10" i="11"/>
  <c r="T19" i="8"/>
  <c r="AJ19" i="8"/>
  <c r="T13" i="12"/>
  <c r="AY18" i="8"/>
  <c r="BF15" i="8"/>
  <c r="BE9" i="8"/>
  <c r="AV18" i="17"/>
  <c r="J18" i="17"/>
  <c r="T13" i="16"/>
  <c r="AP13" i="16"/>
  <c r="BF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W20" i="20"/>
  <c r="AI20" i="20"/>
  <c r="AU20" i="20"/>
  <c r="Y20" i="20"/>
  <c r="AH20" i="20"/>
  <c r="Q20" i="20"/>
  <c r="H20" i="20"/>
  <c r="U12" i="11"/>
  <c r="R20" i="20"/>
  <c r="AV20" i="20"/>
  <c r="AX20" i="20"/>
  <c r="AO20" i="20"/>
  <c r="Z20" i="20"/>
  <c r="O16" i="11"/>
  <c r="T20" i="20"/>
  <c r="I20" i="20"/>
  <c r="AD20" i="20"/>
  <c r="M20" i="20"/>
  <c r="W20" i="21"/>
  <c r="AG20" i="20"/>
  <c r="O20" i="20"/>
  <c r="N20" i="20"/>
  <c r="T20" i="21"/>
  <c r="X20" i="20"/>
  <c r="Y19" i="8" l="1"/>
  <c r="B16" i="6"/>
  <c r="C18" i="7"/>
  <c r="BG16" i="8"/>
  <c r="K16" i="7" s="1"/>
  <c r="AW18" i="21"/>
  <c r="AB19" i="8"/>
  <c r="H13" i="12"/>
  <c r="BG10" i="8"/>
  <c r="C19" i="3"/>
  <c r="AL11" i="11"/>
  <c r="E9" i="6"/>
  <c r="H15" i="7"/>
  <c r="H12" i="2"/>
  <c r="C10" i="6"/>
  <c r="E18" i="2"/>
  <c r="F18" i="2" s="1"/>
  <c r="AO17" i="11"/>
  <c r="AL15" i="11"/>
  <c r="L16" i="14"/>
  <c r="M18" i="2"/>
  <c r="N18" i="2"/>
  <c r="BE15" i="13"/>
  <c r="B12" i="6"/>
  <c r="AO12" i="11"/>
  <c r="E15" i="6"/>
  <c r="AL10" i="11"/>
  <c r="BD9" i="13"/>
  <c r="BD12" i="8"/>
  <c r="H12" i="7" s="1"/>
  <c r="C11" i="6"/>
  <c r="B9" i="6"/>
  <c r="L12" i="14"/>
  <c r="F11" i="11"/>
  <c r="AQ11" i="11" s="1"/>
  <c r="R8" i="9"/>
  <c r="F17" i="17"/>
  <c r="AQ17" i="17" s="1"/>
  <c r="F16" i="17"/>
  <c r="AQ16" i="17" s="1"/>
  <c r="BG16" i="13"/>
  <c r="AZ18" i="13"/>
  <c r="BE16" i="13"/>
  <c r="BG15" i="8"/>
  <c r="K15" i="12" s="1"/>
  <c r="H15" i="2"/>
  <c r="AO16" i="11"/>
  <c r="BA13" i="8"/>
  <c r="BF9" i="13"/>
  <c r="D11" i="12"/>
  <c r="D12" i="12"/>
  <c r="BF11" i="8"/>
  <c r="BF9" i="8"/>
  <c r="BG9" i="8"/>
  <c r="K9" i="7" s="1"/>
  <c r="BD11" i="8"/>
  <c r="H11" i="7" s="1"/>
  <c r="BE11" i="8"/>
  <c r="I11" i="7" s="1"/>
  <c r="BG12" i="8"/>
  <c r="K12" i="7" s="1"/>
  <c r="BE12" i="8"/>
  <c r="I12" i="7" s="1"/>
  <c r="L11" i="14"/>
  <c r="F12" i="11"/>
  <c r="AQ12" i="11" s="1"/>
  <c r="X12" i="21"/>
  <c r="BJ17" i="11"/>
  <c r="V11" i="16"/>
  <c r="BL12" i="11"/>
  <c r="V11" i="11"/>
  <c r="BI15" i="11"/>
  <c r="BG9" i="11"/>
  <c r="T17" i="16"/>
  <c r="BW17" i="20"/>
  <c r="BW15" i="20"/>
  <c r="BU16" i="17"/>
  <c r="R10" i="14"/>
  <c r="P15" i="17"/>
  <c r="BH10" i="16"/>
  <c r="BH16" i="11"/>
  <c r="L10" i="2"/>
  <c r="AP10" i="21"/>
  <c r="AZ15" i="11"/>
  <c r="AZ18" i="11" s="1"/>
  <c r="BW11" i="20"/>
  <c r="X15" i="17"/>
  <c r="AQ10" i="21"/>
  <c r="T9" i="11"/>
  <c r="BH17" i="16"/>
  <c r="BL17" i="11"/>
  <c r="R12" i="14"/>
  <c r="X9" i="17"/>
  <c r="AO16" i="17"/>
  <c r="BK17" i="11"/>
  <c r="BW12" i="20"/>
  <c r="T16" i="11"/>
  <c r="BK16" i="11"/>
  <c r="X12" i="17"/>
  <c r="S12" i="14"/>
  <c r="V12" i="14" s="1"/>
  <c r="V13" i="14" s="1"/>
  <c r="AA10" i="16"/>
  <c r="X17" i="20"/>
  <c r="V17" i="16"/>
  <c r="L11" i="2"/>
  <c r="X15" i="16"/>
  <c r="X18" i="16" s="1"/>
  <c r="R17" i="14"/>
  <c r="T17" i="11"/>
  <c r="AA11" i="16"/>
  <c r="AZ11" i="11"/>
  <c r="S16" i="17"/>
  <c r="AU18" i="21"/>
  <c r="L19" i="21"/>
  <c r="BD18" i="19"/>
  <c r="AC19" i="13"/>
  <c r="BA13" i="13"/>
  <c r="BD13" i="13" s="1"/>
  <c r="BE11" i="13"/>
  <c r="BG10" i="13"/>
  <c r="BE17" i="13"/>
  <c r="F17" i="11"/>
  <c r="AQ17" i="11" s="1"/>
  <c r="AQ15" i="11"/>
  <c r="E12" i="6"/>
  <c r="C12" i="6"/>
  <c r="AL12" i="11"/>
  <c r="C18" i="2"/>
  <c r="D18" i="2" s="1"/>
  <c r="AM16" i="11"/>
  <c r="G18" i="12"/>
  <c r="E16" i="6"/>
  <c r="C15" i="6"/>
  <c r="B15" i="6"/>
  <c r="G15" i="3"/>
  <c r="I12" i="3"/>
  <c r="E12" i="3"/>
  <c r="E10" i="3"/>
  <c r="L9" i="14"/>
  <c r="AO11" i="11"/>
  <c r="AM12" i="11"/>
  <c r="AL17" i="11"/>
  <c r="F15" i="2"/>
  <c r="AL16" i="11"/>
  <c r="L15" i="14"/>
  <c r="AR13" i="21"/>
  <c r="E13" i="17"/>
  <c r="W13" i="17"/>
  <c r="X13" i="17" s="1"/>
  <c r="I9" i="7"/>
  <c r="H9" i="7"/>
  <c r="I18" i="2"/>
  <c r="J18" i="2" s="1"/>
  <c r="G18" i="2"/>
  <c r="B18" i="6" s="1"/>
  <c r="L17" i="14"/>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Q10" i="11"/>
  <c r="E13" i="2"/>
  <c r="B10" i="6"/>
  <c r="K10" i="7"/>
  <c r="E10" i="6"/>
  <c r="K10" i="12" s="1"/>
  <c r="AO10" i="11"/>
  <c r="G13" i="21"/>
  <c r="G20" i="21" s="1"/>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E13" i="7"/>
  <c r="AA13" i="17"/>
  <c r="BG13" i="16"/>
  <c r="G13" i="7"/>
  <c r="K13" i="2"/>
  <c r="T13" i="17"/>
  <c r="BH18" i="16"/>
  <c r="BG18" i="16"/>
  <c r="F18" i="12"/>
  <c r="D18" i="14"/>
  <c r="G18" i="1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N18" i="11"/>
  <c r="Q18" i="11" s="1"/>
  <c r="AT18" i="11"/>
  <c r="M13" i="11"/>
  <c r="L13" i="11"/>
  <c r="AP16" i="11"/>
  <c r="Z18" i="11"/>
  <c r="AB13" i="11"/>
  <c r="W18" i="11"/>
  <c r="Y16" i="11"/>
  <c r="Y18" i="11" s="1"/>
  <c r="X18" i="11"/>
  <c r="AC9" i="11"/>
  <c r="H13" i="11"/>
  <c r="E13" i="12" s="1"/>
  <c r="S18" i="11"/>
  <c r="H18" i="11"/>
  <c r="X13" i="11"/>
  <c r="AA18" i="11"/>
  <c r="M18" i="11"/>
  <c r="C16" i="14"/>
  <c r="K16" i="14" s="1"/>
  <c r="J16" i="7"/>
  <c r="F18" i="3"/>
  <c r="G18" i="3" s="1"/>
  <c r="H13" i="3"/>
  <c r="AJ18" i="11"/>
  <c r="D18" i="5"/>
  <c r="D19" i="5" s="1"/>
  <c r="F16" i="2"/>
  <c r="H16" i="2"/>
  <c r="J16" i="2"/>
  <c r="F13" i="3"/>
  <c r="E9" i="3"/>
  <c r="G9" i="3"/>
  <c r="W18" i="17"/>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S18" i="20"/>
  <c r="S19" i="20" s="1"/>
  <c r="W18" i="20"/>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AS16" i="20"/>
  <c r="AQ19" i="20"/>
  <c r="D11" i="6"/>
  <c r="E11" i="3"/>
  <c r="R15" i="14"/>
  <c r="AM17" i="11"/>
  <c r="BG17" i="11"/>
  <c r="P19" i="8"/>
  <c r="AO11" i="17"/>
  <c r="AQ18" i="21"/>
  <c r="BG11" i="11"/>
  <c r="BJ9" i="11"/>
  <c r="BA19" i="19"/>
  <c r="BG19" i="19" s="1"/>
  <c r="BD13" i="19"/>
  <c r="BF13" i="19"/>
  <c r="AD19" i="8"/>
  <c r="V19" i="8"/>
  <c r="U16" i="21"/>
  <c r="U18" i="21" s="1"/>
  <c r="V16" i="20"/>
  <c r="X17" i="16"/>
  <c r="D13" i="3"/>
  <c r="N19" i="8"/>
  <c r="BH12" i="11"/>
  <c r="AP12" i="21"/>
  <c r="BM10"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W19" i="21"/>
  <c r="R13" i="16"/>
  <c r="AR13" i="17"/>
  <c r="U12" i="21"/>
  <c r="F12" i="17"/>
  <c r="AQ12" i="17" s="1"/>
  <c r="AI13" i="16"/>
  <c r="AI19" i="16" s="1"/>
  <c r="I18" i="17"/>
  <c r="L18" i="16"/>
  <c r="AZ18" i="20"/>
  <c r="AZ19" i="20" s="1"/>
  <c r="Y13" i="16"/>
  <c r="O18" i="11"/>
  <c r="AS20" i="20"/>
  <c r="H13" i="14"/>
  <c r="AD13" i="14"/>
  <c r="Z13" i="14"/>
  <c r="M13" i="14"/>
  <c r="S13" i="14"/>
  <c r="R13" i="14"/>
  <c r="Y13" i="14"/>
  <c r="AA13" i="14"/>
  <c r="W13" i="14"/>
  <c r="P13" i="14"/>
  <c r="Q13" i="14"/>
  <c r="X13" i="14"/>
  <c r="AC13" i="14"/>
  <c r="AB13" i="14"/>
  <c r="U18" i="11"/>
  <c r="AA18" i="14"/>
  <c r="W18" i="14"/>
  <c r="H18" i="14"/>
  <c r="Z18" i="14"/>
  <c r="X18" i="14"/>
  <c r="AD18" i="14"/>
  <c r="Q18" i="14"/>
  <c r="P18" i="14"/>
  <c r="Y18" i="14"/>
  <c r="AC18" i="14"/>
  <c r="AB18" i="14"/>
  <c r="R18" i="14"/>
  <c r="M18" i="14"/>
  <c r="U21" i="11"/>
  <c r="U13" i="11"/>
  <c r="U19" i="11"/>
  <c r="V19" i="11" s="1"/>
  <c r="V12" i="11"/>
  <c r="O17" i="11"/>
  <c r="AW20" i="11"/>
  <c r="AV20" i="21"/>
  <c r="H20" i="17"/>
  <c r="AX20" i="21"/>
  <c r="U17" i="11"/>
  <c r="O10" i="11"/>
  <c r="BR20" i="16"/>
  <c r="BP20" i="16"/>
  <c r="AU20" i="17"/>
  <c r="K16" i="12" l="1"/>
  <c r="B19" i="7"/>
  <c r="Y13" i="11"/>
  <c r="K12" i="12"/>
  <c r="D19" i="12"/>
  <c r="G19" i="7"/>
  <c r="BE13" i="8"/>
  <c r="I10" i="12"/>
  <c r="AP16" i="20"/>
  <c r="V15" i="11"/>
  <c r="BH15" i="11"/>
  <c r="Q17" i="20"/>
  <c r="Q18" i="20" s="1"/>
  <c r="BF17" i="11"/>
  <c r="S17" i="16"/>
  <c r="X11" i="17"/>
  <c r="S9" i="17"/>
  <c r="BI10" i="11"/>
  <c r="S9" i="14"/>
  <c r="V9" i="14" s="1"/>
  <c r="BJ11" i="11"/>
  <c r="BI17" i="11"/>
  <c r="BL11" i="11"/>
  <c r="BM15" i="11"/>
  <c r="T15" i="16"/>
  <c r="T18" i="16" s="1"/>
  <c r="T19" i="16" s="1"/>
  <c r="BW9" i="20"/>
  <c r="BV16" i="16"/>
  <c r="BV15" i="16"/>
  <c r="BU9" i="17"/>
  <c r="BU17" i="17"/>
  <c r="BV9" i="16"/>
  <c r="BV13" i="16" s="1"/>
  <c r="AZ12" i="11"/>
  <c r="T15" i="11"/>
  <c r="S15" i="16"/>
  <c r="S18" i="16" s="1"/>
  <c r="S19" i="16" s="1"/>
  <c r="BF12" i="11"/>
  <c r="P12" i="11" s="1"/>
  <c r="BL10" i="11"/>
  <c r="Q15" i="17"/>
  <c r="BF15" i="11"/>
  <c r="AQ12" i="21"/>
  <c r="BL16" i="11"/>
  <c r="L15" i="2"/>
  <c r="V9" i="16"/>
  <c r="BG15" i="11"/>
  <c r="AZ9" i="11"/>
  <c r="BV17" i="16"/>
  <c r="BV11" i="16"/>
  <c r="BW10" i="20"/>
  <c r="AA16" i="16"/>
  <c r="S11" i="14"/>
  <c r="V11" i="14" s="1"/>
  <c r="BH10" i="11"/>
  <c r="BH11" i="11"/>
  <c r="BH12" i="16"/>
  <c r="BF11" i="11"/>
  <c r="BL9" i="11"/>
  <c r="BG10" i="11"/>
  <c r="P17" i="17"/>
  <c r="P18" i="17" s="1"/>
  <c r="P19" i="17" s="1"/>
  <c r="BK12" i="11"/>
  <c r="BK9" i="11"/>
  <c r="V12" i="21"/>
  <c r="BK11" i="11"/>
  <c r="BM12" i="11"/>
  <c r="V9" i="11"/>
  <c r="BJ15" i="11"/>
  <c r="AP15" i="20"/>
  <c r="AP17" i="20"/>
  <c r="BU10" i="17"/>
  <c r="U10" i="17"/>
  <c r="AA15" i="16"/>
  <c r="Q17" i="17"/>
  <c r="BJ10" i="11"/>
  <c r="BG16" i="11"/>
  <c r="BK10" i="11"/>
  <c r="L12" i="2"/>
  <c r="V10" i="21"/>
  <c r="S16" i="14"/>
  <c r="V16" i="14" s="1"/>
  <c r="S15" i="14"/>
  <c r="V15" i="14" s="1"/>
  <c r="AA17" i="16"/>
  <c r="T17" i="20"/>
  <c r="U10" i="21"/>
  <c r="X16" i="20"/>
  <c r="S10" i="17"/>
  <c r="L9" i="2"/>
  <c r="L17" i="2"/>
  <c r="V15" i="20"/>
  <c r="S10" i="14"/>
  <c r="V10" i="14" s="1"/>
  <c r="R11" i="14"/>
  <c r="AM9" i="11"/>
  <c r="T11" i="11"/>
  <c r="X16" i="17"/>
  <c r="AA9" i="16"/>
  <c r="V15" i="16"/>
  <c r="V12" i="16"/>
  <c r="AZ17" i="11"/>
  <c r="X12" i="16"/>
  <c r="V10" i="11"/>
  <c r="V13" i="11"/>
  <c r="V16" i="11"/>
  <c r="U16" i="17"/>
  <c r="U17" i="17"/>
  <c r="U11" i="17"/>
  <c r="AA12" i="16"/>
  <c r="F18" i="17"/>
  <c r="BF9" i="11"/>
  <c r="BM11" i="11"/>
  <c r="S12" i="17"/>
  <c r="AA10" i="21"/>
  <c r="U15" i="17"/>
  <c r="U18" i="17" s="1"/>
  <c r="V17" i="20"/>
  <c r="BI12" i="11"/>
  <c r="AM10" i="11"/>
  <c r="T10" i="11"/>
  <c r="BI11" i="11"/>
  <c r="BI16" i="11"/>
  <c r="BH16" i="16"/>
  <c r="F18" i="20"/>
  <c r="F21" i="20" s="1"/>
  <c r="X18" i="20"/>
  <c r="T16" i="20"/>
  <c r="X18" i="17"/>
  <c r="T18" i="11"/>
  <c r="AZ10" i="11"/>
  <c r="U12" i="17"/>
  <c r="AP18" i="21"/>
  <c r="BH13" i="16"/>
  <c r="AO10" i="17"/>
  <c r="AP13" i="21"/>
  <c r="AQ13" i="21"/>
  <c r="AO9" i="17"/>
  <c r="K15" i="7"/>
  <c r="AO17" i="17"/>
  <c r="AM11" i="11"/>
  <c r="AM15" i="11"/>
  <c r="X10" i="21"/>
  <c r="X19" i="21" s="1"/>
  <c r="V10" i="16"/>
  <c r="X10" i="17"/>
  <c r="T12" i="11"/>
  <c r="S17" i="14"/>
  <c r="X9" i="16"/>
  <c r="S15" i="17"/>
  <c r="AA12" i="21"/>
  <c r="X13" i="20"/>
  <c r="R16" i="14"/>
  <c r="U9" i="17"/>
  <c r="S17" i="17"/>
  <c r="BI9" i="11"/>
  <c r="BU12" i="17"/>
  <c r="BU11" i="17"/>
  <c r="BJ12" i="11"/>
  <c r="BH9" i="11"/>
  <c r="BH13" i="11" s="1"/>
  <c r="AO12" i="17"/>
  <c r="BF10" i="11"/>
  <c r="BM16" i="11"/>
  <c r="BH11" i="16"/>
  <c r="BM9" i="11"/>
  <c r="P9" i="11" s="1"/>
  <c r="BG12" i="11"/>
  <c r="S11" i="17"/>
  <c r="BV12" i="16"/>
  <c r="R17" i="20"/>
  <c r="L16" i="2"/>
  <c r="BJ16" i="11"/>
  <c r="BM17" i="11"/>
  <c r="P17" i="11" s="1"/>
  <c r="BL15" i="11"/>
  <c r="X17" i="17"/>
  <c r="AZ16" i="11"/>
  <c r="BV10" i="16"/>
  <c r="BW16" i="20"/>
  <c r="BU15" i="17"/>
  <c r="BH17" i="11"/>
  <c r="R10" i="21"/>
  <c r="R13" i="21" s="1"/>
  <c r="R19" i="21" s="1"/>
  <c r="Q10" i="21"/>
  <c r="Q13" i="21" s="1"/>
  <c r="Q19" i="21" s="1"/>
  <c r="BK15" i="11"/>
  <c r="BK18" i="11" s="1"/>
  <c r="BF16" i="11"/>
  <c r="Q16" i="11" s="1"/>
  <c r="BH15" i="16"/>
  <c r="BH9" i="16"/>
  <c r="AL18" i="11"/>
  <c r="C18" i="6"/>
  <c r="J11" i="12"/>
  <c r="BF13" i="8"/>
  <c r="G21" i="11"/>
  <c r="AM13" i="11"/>
  <c r="K9" i="12"/>
  <c r="I12" i="12"/>
  <c r="BG13" i="13"/>
  <c r="BE13" i="13"/>
  <c r="I11" i="12"/>
  <c r="BI18" i="11"/>
  <c r="Q19" i="20"/>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L18" i="11" l="1"/>
  <c r="P15" i="11"/>
  <c r="R18" i="20"/>
  <c r="R19" i="20" s="1"/>
  <c r="X19" i="16"/>
  <c r="X13" i="16"/>
  <c r="P16" i="11"/>
  <c r="BJ18" i="11"/>
  <c r="Q18" i="17"/>
  <c r="Q19" i="17" s="1"/>
  <c r="BU21" i="17"/>
  <c r="BH18" i="11"/>
  <c r="BH19" i="11" s="1"/>
  <c r="Q12" i="11"/>
  <c r="Q10" i="11"/>
  <c r="U19" i="17"/>
  <c r="U13" i="17"/>
  <c r="V17" i="14"/>
  <c r="V18" i="14" s="1"/>
  <c r="V19" i="14" s="1"/>
  <c r="S18" i="14"/>
  <c r="S19" i="14" s="1"/>
  <c r="V18" i="20"/>
  <c r="V19" i="20"/>
  <c r="V13" i="21"/>
  <c r="V19" i="21" s="1"/>
  <c r="BK13" i="11"/>
  <c r="BK19" i="11" s="1"/>
  <c r="Q9" i="11"/>
  <c r="AZ13" i="11"/>
  <c r="AZ19" i="11"/>
  <c r="BF18" i="11"/>
  <c r="BV18" i="16"/>
  <c r="BW21" i="20"/>
  <c r="Q15"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Y20" i="17"/>
  <c r="Z20" i="11"/>
  <c r="BE20" i="16"/>
  <c r="N20" i="11"/>
  <c r="AD20" i="11"/>
  <c r="V20" i="21"/>
  <c r="M20" i="17"/>
  <c r="AB20" i="21"/>
  <c r="J20" i="11"/>
  <c r="AL20" i="16"/>
  <c r="P20" i="11"/>
  <c r="AI20" i="21"/>
  <c r="S20" i="21"/>
  <c r="E20" i="11"/>
  <c r="AR20" i="11"/>
  <c r="Y20" i="16"/>
  <c r="V20" i="16"/>
  <c r="K20" i="12"/>
  <c r="U20" i="16"/>
  <c r="M20" i="11"/>
  <c r="AI20" i="11"/>
  <c r="AD20" i="16"/>
  <c r="AG20" i="21"/>
  <c r="F20" i="12"/>
  <c r="R20" i="11"/>
  <c r="H20" i="21"/>
  <c r="Q20" i="16"/>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D20" i="12"/>
  <c r="AK20" i="21"/>
  <c r="O20" i="21"/>
  <c r="AX20" i="16"/>
  <c r="AA20" i="16"/>
  <c r="AN20" i="11"/>
  <c r="AM20" i="16"/>
  <c r="BC20" i="21"/>
  <c r="AG20" i="16"/>
  <c r="E20" i="17"/>
  <c r="Z20" i="17"/>
  <c r="AE20" i="17"/>
  <c r="AR20" i="20"/>
  <c r="Y20" i="11"/>
  <c r="K20" i="16"/>
  <c r="AG20" i="17"/>
  <c r="V20" i="17"/>
  <c r="BC20" i="16"/>
  <c r="AE20" i="11"/>
  <c r="AB20" i="11"/>
  <c r="X20" i="21"/>
  <c r="AH20" i="21"/>
  <c r="Q20" i="11"/>
  <c r="P20" i="17"/>
  <c r="U20" i="11"/>
  <c r="BM20" i="16"/>
  <c r="O12" i="11"/>
  <c r="I20" i="12"/>
  <c r="BD19" i="8" l="1"/>
  <c r="AQ20" i="17"/>
  <c r="AT20" i="21"/>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<sst xmlns="http://schemas.openxmlformats.org/spreadsheetml/2006/main" count="2102" uniqueCount="917">
  <si>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</si>
  <si>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</si>
  <si>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</si>
  <si>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</si>
  <si>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</si>
  <si>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</si>
  <si>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</si>
  <si>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</si>
  <si>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</si>
  <si>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</si>
  <si>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</si>
  <si>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</si>
  <si>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</si>
  <si>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</si>
  <si>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</si>
  <si>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</si>
  <si>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</si>
  <si>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</si>
  <si>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</si>
  <si>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</si>
  <si>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</si>
  <si>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</si>
  <si>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</si>
  <si>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</si>
  <si>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</si>
  <si>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</si>
  <si>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</si>
  <si>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</si>
  <si>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</si>
  <si>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</si>
  <si>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</si>
  <si>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</si>
  <si>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</si>
  <si>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</si>
  <si>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</si>
  <si>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</si>
  <si>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</si>
  <si>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</si>
  <si>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</si>
  <si>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</si>
  <si>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</si>
  <si>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</si>
  <si>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</si>
  <si>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</si>
  <si>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</si>
  <si>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</si>
  <si>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</si>
  <si>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</si>
  <si>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</si>
  <si>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</si>
  <si>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</si>
  <si>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</si>
  <si>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</si>
  <si>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</si>
  <si>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</si>
  <si>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</si>
  <si>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</si>
  <si>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</si>
  <si>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</si>
  <si>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</si>
  <si>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</si>
  <si>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</si>
  <si>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</si>
  <si>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</si>
  <si>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</si>
  <si>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</si>
  <si>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</si>
  <si>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</si>
  <si>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</si>
  <si>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</si>
  <si>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</si>
  <si>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</si>
  <si>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</si>
  <si>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</si>
  <si>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</si>
  <si>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</si>
  <si>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</si>
  <si>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</si>
  <si>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</si>
  <si>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</si>
  <si>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</si>
  <si>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</si>
  <si>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</si>
  <si>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</si>
  <si>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</si>
  <si>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</si>
  <si>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</si>
  <si>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</si>
  <si>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</si>
  <si>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</si>
  <si>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</si>
  <si>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</si>
  <si>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</si>
  <si>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</si>
  <si>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</si>
  <si>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</si>
  <si>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</si>
  <si>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</si>
  <si>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</si>
  <si>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</si>
  <si>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</si>
  <si>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</si>
  <si>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</si>
  <si>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</si>
  <si>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</si>
  <si>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</si>
  <si>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</si>
  <si>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</si>
  <si>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</si>
  <si>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</si>
  <si>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</si>
  <si>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</si>
  <si>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</si>
  <si>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</si>
  <si>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</si>
  <si>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</si>
  <si>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</si>
  <si>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</si>
  <si>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</si>
  <si>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</si>
  <si>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</si>
  <si>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</si>
  <si>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</si>
  <si>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</si>
  <si>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</si>
  <si>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</si>
  <si>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</si>
  <si>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</si>
  <si>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</si>
  <si>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</si>
  <si>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</si>
  <si>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</si>
  <si>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</si>
  <si>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</si>
  <si>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</si>
  <si>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</si>
  <si>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</si>
  <si>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</si>
  <si>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</si>
  <si>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</si>
  <si>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</si>
  <si>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</si>
  <si>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</si>
  <si>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</si>
  <si>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</si>
  <si>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</si>
  <si>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</si>
  <si>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</si>
  <si>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</si>
  <si>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</si>
  <si>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</si>
  <si>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</si>
  <si>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</si>
  <si>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</si>
  <si>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</si>
  <si>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</si>
  <si>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</si>
  <si>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</si>
  <si>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</si>
  <si>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</si>
  <si>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</si>
  <si>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</si>
  <si>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</si>
  <si>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</si>
  <si>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</si>
  <si>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</si>
  <si>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</si>
  <si>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</si>
  <si>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</si>
  <si>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</si>
  <si>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</si>
  <si>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</si>
  <si>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</si>
  <si>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</si>
  <si>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</si>
  <si>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</si>
  <si>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</si>
  <si>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</si>
  <si>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</si>
  <si>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</si>
  <si>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</si>
  <si>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</si>
  <si>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</si>
  <si>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</si>
  <si>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</si>
  <si>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</si>
  <si>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</si>
  <si>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</si>
  <si>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</si>
  <si>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</si>
  <si>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</si>
  <si>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</si>
  <si>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</si>
  <si>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</si>
  <si>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</si>
  <si>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</si>
  <si>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</si>
  <si>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</si>
  <si>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</si>
  <si>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</si>
  <si>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</si>
  <si>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</si>
  <si>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</si>
  <si>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</si>
  <si>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</si>
  <si>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</si>
  <si>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</si>
  <si>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</si>
  <si>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</si>
  <si>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</si>
  <si>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</si>
  <si>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</si>
  <si>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</si>
  <si>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</si>
  <si>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</si>
  <si>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</si>
  <si>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</si>
  <si>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</si>
  <si>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</si>
  <si>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</si>
  <si>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</si>
  <si>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</si>
  <si>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</si>
  <si>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</si>
  <si>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</si>
  <si>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</si>
  <si>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</si>
  <si>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</si>
  <si>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</si>
  <si>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</si>
  <si>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</si>
  <si>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</si>
  <si>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</si>
  <si>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</si>
  <si>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</si>
  <si>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</si>
  <si>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</si>
  <si>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</si>
  <si>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</si>
  <si>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</si>
  <si>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</si>
  <si>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</si>
  <si>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</si>
  <si>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</si>
  <si>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</si>
  <si>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</si>
  <si>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</si>
  <si>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</si>
  <si>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</si>
  <si>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</si>
  <si>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</si>
  <si>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</si>
  <si>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</si>
  <si>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</si>
  <si>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</si>
  <si>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</si>
  <si>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</si>
  <si>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</si>
  <si>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</si>
  <si>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</si>
  <si>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</si>
  <si>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</si>
  <si>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</si>
  <si>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</si>
  <si>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</si>
  <si>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</si>
  <si>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</si>
  <si>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</si>
  <si>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</si>
  <si>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</si>
  <si>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</si>
  <si>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</si>
  <si>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</si>
  <si>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</si>
  <si>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</si>
  <si>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</si>
  <si>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</si>
  <si>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</si>
  <si>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</si>
  <si>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</si>
  <si>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</si>
  <si>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</si>
  <si>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</si>
  <si>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</si>
  <si>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</si>
  <si>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</si>
  <si>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</si>
  <si>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</si>
  <si>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</si>
  <si>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</si>
  <si>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</si>
  <si>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</si>
  <si>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</si>
  <si>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</si>
  <si>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</si>
  <si>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</si>
  <si>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</si>
  <si>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</si>
  <si>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</si>
  <si>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</si>
  <si>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</si>
  <si>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</si>
  <si>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</si>
  <si>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</si>
  <si>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</si>
  <si>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</si>
  <si>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</si>
  <si>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</si>
  <si>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</si>
  <si>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</si>
  <si>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</si>
  <si>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</si>
  <si>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</si>
  <si>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</si>
  <si>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</si>
  <si>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</si>
  <si>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</si>
  <si>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</si>
  <si>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</si>
  <si>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</si>
  <si>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</si>
  <si>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</si>
  <si>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</si>
  <si>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</si>
  <si>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</si>
  <si>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</si>
  <si>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</si>
  <si>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</si>
  <si>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</si>
  <si>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</si>
  <si>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</si>
  <si>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</si>
  <si>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</si>
  <si>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</si>
  <si>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</si>
  <si>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</si>
  <si>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</si>
  <si>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</si>
  <si>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</si>
  <si>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</si>
  <si>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</si>
  <si>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</si>
  <si>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</si>
  <si>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</si>
  <si>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</si>
  <si>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</si>
  <si>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</si>
  <si>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</si>
  <si>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</si>
  <si>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</si>
  <si>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</si>
  <si>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</si>
  <si>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</si>
  <si>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</si>
  <si>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</si>
  <si>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</si>
  <si>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</si>
  <si>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</si>
  <si>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</si>
  <si>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</si>
  <si>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</si>
  <si>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</si>
  <si>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</si>
  <si>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</si>
  <si>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</si>
  <si>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</si>
  <si>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</si>
  <si>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</si>
  <si>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</si>
  <si>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</si>
  <si>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</si>
  <si>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</si>
  <si>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</si>
  <si>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</si>
  <si>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</si>
  <si>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</si>
  <si>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</si>
  <si>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</si>
  <si>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</si>
  <si>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</si>
  <si>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</si>
  <si>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</si>
  <si>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</si>
  <si>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</si>
  <si>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</si>
  <si>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</si>
  <si>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</si>
  <si>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</si>
  <si>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</si>
  <si>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</si>
  <si>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</si>
  <si>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</si>
  <si>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</si>
  <si>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</si>
  <si>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</si>
  <si>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</si>
  <si>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</si>
  <si>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</si>
  <si>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</si>
  <si>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</si>
  <si>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</si>
  <si>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</si>
  <si>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</si>
  <si>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</si>
  <si>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</si>
  <si>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</si>
  <si>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</si>
  <si>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</si>
  <si>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</si>
  <si>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</si>
  <si>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</si>
  <si>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</si>
  <si>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</si>
  <si>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</si>
  <si>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</si>
  <si>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</si>
  <si>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</si>
  <si>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</si>
  <si>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</si>
  <si>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</si>
  <si>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</si>
  <si>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</si>
  <si>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</si>
  <si>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</si>
  <si>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</si>
  <si>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</si>
  <si>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</si>
  <si>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</si>
  <si>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</si>
  <si>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</si>
  <si>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</si>
  <si>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</si>
  <si>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</si>
  <si>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</si>
  <si>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</si>
  <si>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</si>
  <si>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</si>
  <si>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</si>
  <si>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</si>
  <si>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</si>
  <si>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</si>
  <si>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</si>
  <si>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</si>
  <si>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</si>
  <si>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</si>
  <si>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</si>
  <si>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</si>
  <si>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</si>
  <si>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</si>
  <si>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</si>
  <si>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</si>
  <si>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</si>
  <si>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</si>
  <si>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</si>
  <si>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</si>
  <si>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</si>
  <si>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</si>
  <si>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</si>
  <si>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</si>
  <si>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</si>
  <si>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</si>
  <si>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</si>
  <si>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</si>
  <si>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</si>
  <si>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</si>
  <si>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</si>
  <si>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</si>
  <si>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</si>
  <si>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</si>
  <si>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</si>
  <si>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</si>
  <si>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</si>
  <si>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</si>
  <si>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</si>
  <si>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</si>
  <si>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</si>
  <si>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</si>
  <si>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</si>
  <si>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</si>
  <si>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</si>
  <si>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</si>
  <si>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</si>
  <si>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</si>
  <si>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</si>
  <si>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</si>
  <si>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</si>
  <si>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</si>
  <si>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</si>
  <si>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</si>
  <si>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</si>
  <si>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</si>
  <si>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</si>
  <si>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</si>
  <si>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</si>
  <si>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</si>
  <si>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</si>
  <si>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</si>
  <si>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</si>
  <si>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</si>
  <si>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</si>
  <si>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</si>
  <si>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</si>
  <si>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</si>
  <si>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</si>
  <si>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</si>
  <si>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</si>
  <si>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</si>
  <si>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</si>
  <si>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</si>
  <si>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</si>
  <si>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</si>
  <si>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</si>
  <si>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</si>
  <si>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</si>
  <si>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</si>
  <si>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</si>
  <si>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</si>
  <si>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</si>
  <si>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</si>
  <si>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</si>
  <si>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</si>
  <si>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</si>
  <si>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</si>
  <si>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</si>
  <si>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</si>
  <si>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</si>
  <si>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</si>
  <si>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</si>
  <si>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</si>
  <si>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</si>
  <si>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</si>
  <si>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</si>
  <si>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</si>
  <si>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</si>
  <si>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</si>
  <si>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</si>
  <si>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</si>
  <si>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</si>
  <si>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</si>
  <si>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</si>
  <si>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</si>
  <si>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</si>
  <si>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</si>
  <si>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</si>
  <si>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</si>
  <si>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</si>
  <si>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</si>
  <si>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</si>
  <si>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</si>
  <si>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</si>
  <si>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</si>
  <si>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</si>
  <si>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</si>
  <si>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</si>
  <si>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</si>
  <si>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</si>
  <si>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</si>
  <si>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</si>
  <si>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</si>
  <si>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</si>
  <si>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</si>
  <si>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</si>
  <si>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</si>
  <si>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</si>
  <si>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</si>
  <si>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</si>
  <si>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</si>
  <si>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</si>
  <si>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</si>
  <si>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</si>
  <si>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</si>
  <si>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</si>
  <si>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</si>
  <si>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</si>
  <si>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</si>
  <si>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</si>
  <si>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</si>
  <si>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</si>
  <si>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</si>
  <si>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</si>
  <si>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</si>
  <si>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</si>
  <si>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</si>
  <si>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</si>
  <si>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</si>
  <si>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</si>
  <si>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</si>
  <si>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</si>
  <si>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</si>
  <si>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</si>
  <si>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</si>
  <si>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</si>
  <si>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</si>
  <si>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</si>
  <si>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</si>
  <si>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</si>
  <si>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</si>
  <si>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</si>
  <si>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</si>
  <si>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</si>
  <si>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</si>
  <si>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</si>
  <si>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</si>
  <si>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</si>
  <si>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</si>
  <si>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</si>
  <si>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</si>
  <si>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</si>
  <si>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</si>
  <si>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</si>
  <si>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</si>
  <si>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</si>
  <si>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</si>
  <si>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</si>
  <si>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</si>
  <si>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</si>
  <si>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</si>
  <si>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</si>
  <si>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</si>
  <si>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</si>
  <si>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</si>
  <si>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</si>
  <si>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</si>
  <si>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</si>
  <si>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</si>
  <si>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</si>
  <si>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</si>
  <si>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</si>
  <si>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</si>
  <si>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</si>
  <si>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</si>
  <si>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</si>
  <si>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</si>
  <si>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</si>
  <si>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</si>
  <si>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</si>
  <si>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</si>
  <si>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</si>
  <si>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</si>
  <si>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</si>
  <si>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</si>
  <si>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</si>
  <si>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</si>
  <si>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</si>
  <si>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</si>
  <si>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</si>
  <si>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</si>
  <si>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</si>
  <si>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</si>
  <si>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</si>
  <si>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</si>
  <si>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</si>
  <si>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</si>
  <si>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</si>
  <si>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</si>
  <si>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</si>
  <si>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</si>
  <si>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</si>
  <si>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</si>
  <si>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</si>
  <si>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</si>
  <si>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</si>
  <si>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</si>
  <si>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</si>
  <si>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</si>
  <si>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</si>
  <si>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</si>
  <si>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</si>
  <si>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</si>
  <si>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</si>
  <si>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</si>
  <si>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</si>
  <si>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</si>
  <si>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</si>
  <si>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</si>
  <si>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</si>
  <si>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</si>
  <si>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</si>
  <si>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</si>
  <si>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</si>
  <si>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</si>
  <si>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</si>
  <si>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</si>
  <si>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</si>
  <si>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</si>
  <si>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</si>
  <si>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</si>
  <si>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</si>
  <si>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</si>
  <si>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</si>
  <si>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</si>
  <si>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</si>
  <si>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</si>
  <si>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</si>
  <si>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</si>
  <si>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</si>
  <si>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</si>
  <si>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</si>
  <si>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</si>
  <si>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</si>
  <si>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</si>
  <si>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</si>
  <si>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</si>
  <si>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</si>
  <si>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</si>
  <si>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</si>
  <si>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</si>
  <si>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</si>
  <si>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</si>
  <si>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</si>
  <si>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</si>
  <si>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</si>
  <si>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</si>
  <si>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</si>
  <si>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</si>
  <si>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</si>
  <si>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</si>
  <si>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</si>
  <si>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</si>
  <si>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</si>
  <si>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</si>
  <si>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</si>
  <si>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</si>
  <si>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</si>
  <si>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</si>
  <si>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</si>
  <si>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</si>
  <si>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</si>
  <si>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</si>
  <si>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</si>
  <si>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</si>
  <si>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</si>
  <si>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</si>
  <si>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</si>
  <si>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</si>
  <si>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</si>
  <si>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</si>
  <si>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</si>
  <si>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</si>
  <si>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</si>
  <si>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</si>
  <si>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</si>
  <si>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</si>
  <si>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</si>
  <si>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</si>
  <si>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</si>
  <si>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</si>
  <si>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</si>
  <si>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</si>
  <si>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</si>
  <si>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</si>
  <si>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</si>
  <si>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</si>
  <si>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</si>
  <si>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</si>
  <si>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</si>
  <si>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</si>
  <si>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</si>
  <si>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</si>
  <si>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</si>
  <si>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</si>
  <si>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</si>
  <si>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</si>
  <si>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</si>
  <si>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</si>
  <si>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</si>
  <si>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</si>
  <si>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</si>
  <si>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</si>
  <si>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</si>
  <si>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</si>
  <si>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</si>
  <si>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</si>
  <si>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</si>
  <si>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</si>
  <si>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</si>
  <si>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</si>
  <si>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</si>
  <si>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</si>
  <si>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</si>
  <si>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</si>
  <si>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</si>
  <si>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</si>
  <si>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</si>
  <si>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</si>
  <si>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</si>
  <si>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</si>
  <si>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</si>
  <si>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</si>
  <si>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</si>
  <si>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</si>
  <si>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</si>
  <si>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</si>
  <si>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</si>
  <si>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</si>
  <si>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</si>
  <si>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</si>
  <si>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</si>
  <si>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</si>
  <si>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</si>
  <si>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</si>
  <si>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</si>
  <si>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</si>
  <si>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</si>
  <si>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</si>
  <si>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</si>
  <si>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</si>
  <si>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</si>
  <si>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</si>
  <si>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</si>
  <si>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</si>
  <si>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</si>
  <si>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</si>
  <si>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</si>
  <si>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</si>
  <si>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</si>
  <si>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</si>
  <si>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</si>
  <si>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</si>
  <si>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</si>
  <si>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</si>
  <si>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</si>
  <si>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</si>
  <si>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</si>
  <si>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</si>
  <si>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</si>
  <si>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</si>
  <si>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</si>
  <si>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</si>
  <si>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</si>
  <si>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</si>
  <si>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</si>
  <si>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</si>
  <si>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</si>
  <si>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</si>
  <si>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</si>
  <si>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</si>
  <si>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</si>
  <si>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</si>
  <si>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</si>
  <si>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</si>
  <si>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</si>
  <si>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</si>
  <si>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</si>
  <si>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</si>
  <si>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</si>
  <si>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</si>
  <si>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</si>
  <si>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</si>
  <si>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</si>
  <si>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</si>
  <si>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</si>
  <si>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</si>
  <si>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</si>
  <si>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</si>
  <si>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</si>
  <si>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</si>
  <si>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</si>
  <si>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</si>
  <si>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</si>
  <si>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</si>
  <si>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</si>
  <si>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</si>
  <si>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</si>
  <si>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</si>
  <si>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</si>
  <si>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</si>
  <si>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</si>
  <si>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</si>
  <si>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</si>
  <si>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</si>
  <si>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</si>
  <si>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</si>
  <si>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</si>
  <si>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</si>
  <si>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</si>
  <si>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</si>
  <si>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</si>
  <si>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</si>
  <si>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</si>
  <si>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</si>
  <si>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</si>
  <si>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</si>
  <si>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</si>
  <si>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</si>
  <si>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</si>
  <si>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</si>
  <si>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</si>
  <si>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</si>
  <si>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</si>
  <si>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</si>
  <si>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</si>
  <si>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</si>
  <si>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</si>
  <si>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</si>
  <si>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</si>
  <si>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</si>
  <si>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</si>
  <si>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</si>
  <si>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</si>
  <si>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</si>
  <si>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</si>
  <si>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</si>
  <si>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</si>
  <si>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</si>
  <si>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</si>
  <si>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</si>
  <si>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</si>
  <si>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</si>
  <si>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</si>
  <si>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</si>
  <si>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10 dic. 2025</t>
  </si>
  <si>
    <t>Tribunales de Justicia</t>
  </si>
  <si>
    <t>NAVARRA</t>
  </si>
  <si>
    <t>Provincias</t>
  </si>
  <si>
    <t>Resumenes por Partidos Judiciales</t>
  </si>
  <si>
    <t>TAFALLA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</si>
</sst>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K0TWglAF+xChc3Yg+m3NmxOiV4VrbStygTrS2Yr98iD71lBpa75mapOkK5fiJKwyjihpINAn4l7HCv518sACg==" saltValue="yttwa41wmglBnQTOgFds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NAVARRA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v>
      </c>
      <c r="D10" s="224">
        <f>IF(ISNUMBER(Datos!I10),Datos!I10," - ")</f>
        <v>9</v>
      </c>
      <c r="E10" s="225">
        <f>IF(ISNUMBER(Datos!J10),Datos!J10," - ")</f>
        <v>7</v>
      </c>
      <c r="F10" s="225">
        <f>IF(ISNUMBER(Datos!K10),Datos!K10," - ")</f>
        <v>7</v>
      </c>
      <c r="G10" s="1033" t="str">
        <f>IF(Datos!E10&lt;&gt;"",Datos!E10,Datos!D10)</f>
        <v>37</v>
      </c>
      <c r="H10" s="226">
        <f>IF(ISNUMBER(Datos!L10),Datos!L10," - ")</f>
        <v>9</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14.142857142857144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18.804761904761904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v>
      </c>
      <c r="D13" s="1048">
        <f>SUBTOTAL(9,D9:D12)</f>
        <v>9</v>
      </c>
      <c r="E13" s="1049">
        <f>SUBTOTAL(9,E9:E12)</f>
        <v>7</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415</v>
      </c>
      <c r="D16" s="224">
        <f>IF(ISNUMBER(IF(D_I="SI",Datos!I16,Datos!I16+Datos!AC16)),IF(D_I="SI",Datos!I16,Datos!I16+Datos!AC16)," - ")</f>
        <v>405</v>
      </c>
      <c r="E16" s="225">
        <f>IF(ISNUMBER(IF(D_I="SI",Datos!J16,Datos!J16+Datos!AD16)),IF(D_I="SI",Datos!J16,Datos!J16+Datos!AD16)," - ")</f>
        <v>306</v>
      </c>
      <c r="F16" s="225">
        <f>IF(ISNUMBER(IF(D_I="SI",Datos!K16,Datos!K16+Datos!AE16)),IF(D_I="SI",Datos!K16,Datos!K16+Datos!AE16)," - ")</f>
        <v>274</v>
      </c>
      <c r="G16" s="1033" t="str">
        <f>IF(Datos!E16&lt;&gt;"",Datos!E16,Datos!D16)</f>
        <v>04</v>
      </c>
      <c r="H16" s="226">
        <f>IF(ISNUMBER(IF(D_I="SI",Datos!L16,Datos!L16+Datos!AF16)),IF(D_I="SI",Datos!L16,Datos!L16+Datos!AF16)," - ")</f>
        <v>447</v>
      </c>
      <c r="I16" s="1043" t="str">
        <f>IF(ISNUMBER(Datos!AS16/Datos!BM16),Datos!AS16/Datos!BM16," - ")</f>
        <v xml:space="preserve"> - </v>
      </c>
      <c r="J16" s="1044">
        <f>IF(ISNUMBER(Datos!BY16/Datos!CN16),Datos!BY16/Datos!CN16," - ")</f>
        <v>0</v>
      </c>
      <c r="K16" s="229">
        <f t="shared" si="3"/>
        <v>7.7108433734939766E-2</v>
      </c>
      <c r="L16" s="1024">
        <f>IF(ISNUMBER(NºAsuntos!I16/NºAsuntos!G16),(NºAsuntos!I16/NºAsuntos!G16)*11," - ")</f>
        <v>17.945255474452555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v>
      </c>
      <c r="D17" s="224">
        <f>IF(ISNUMBER(IF(D_I="SI",Datos!I17,Datos!I17+Datos!AC17)),IF(D_I="SI",Datos!I17,Datos!I17+Datos!AC17)," - ")</f>
        <v>22</v>
      </c>
      <c r="E17" s="225">
        <f>IF(ISNUMBER(IF(D_I="SI",Datos!J17,Datos!J17+Datos!AD17)),IF(D_I="SI",Datos!J17,Datos!J17+Datos!AD17)," - ")</f>
        <v>43</v>
      </c>
      <c r="F17" s="225">
        <f>IF(ISNUMBER(IF(D_I="SI",Datos!K17,Datos!K17+Datos!AE17)),IF(D_I="SI",Datos!K17,Datos!K17+Datos!AE17)," - ")</f>
        <v>36</v>
      </c>
      <c r="G17" s="1033" t="str">
        <f>IF(Datos!E17&lt;&gt;"",Datos!E17,Datos!D17)</f>
        <v>37</v>
      </c>
      <c r="H17" s="226">
        <f>IF(ISNUMBER(IF(D_I="SI",Datos!L17,Datos!L17+Datos!AF17)),IF(D_I="SI",Datos!L17,Datos!L17+Datos!AF17)," - ")</f>
        <v>29</v>
      </c>
      <c r="I17" s="1043" t="str">
        <f>IF(ISNUMBER(Datos!AS17/Datos!BM17),Datos!AS17/Datos!BM17," - ")</f>
        <v xml:space="preserve"> - </v>
      </c>
      <c r="J17" s="1044" t="str">
        <f>IF(ISNUMBER((Datos!BY17+Datos!BZ17)/Datos!CN17),(Datos!BY17+Datos!BZ17)/Datos!CN17," - ")</f>
        <v xml:space="preserve"> - </v>
      </c>
      <c r="K17" s="229">
        <f t="shared" si="3"/>
        <v>0.31818181818181818</v>
      </c>
      <c r="L17" s="1024">
        <f>IF(ISNUMBER(NºAsuntos!I17/NºAsuntos!G17),(NºAsuntos!I17/NºAsuntos!G17)*11," - ")</f>
        <v>8.8611111111111107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437</v>
      </c>
      <c r="D18" s="1048">
        <f>SUBTOTAL(9,D15:D17)</f>
        <v>427</v>
      </c>
      <c r="E18" s="1049">
        <f>SUBTOTAL(9,E15:E17)</f>
        <v>349</v>
      </c>
      <c r="F18" s="1049">
        <f>SUBTOTAL(9,F15:F17)</f>
        <v>310</v>
      </c>
      <c r="G18" s="1051" t="str">
        <f ca="1">INDIRECT(CONCATENATE("G",ROW()-1))</f>
        <v>37</v>
      </c>
      <c r="H18" s="1052">
        <f ca="1">SUMIF(G$14:G17,G18,H$14:H17)</f>
        <v>29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446</v>
      </c>
      <c r="D19" s="1070">
        <f>SUBTOTAL(9,D9:D18)</f>
        <v>436</v>
      </c>
      <c r="E19" s="1071">
        <f>SUBTOTAL(9,E9:E18)</f>
        <v>356</v>
      </c>
      <c r="F19" s="1071">
        <f>SUBTOTAL(9,F9:F18)</f>
        <v>317</v>
      </c>
      <c r="G19" s="1072"/>
      <c r="H19" s="1073">
        <f ca="1">SUMIF(B9:B18,"TOTAL",H9:H18)</f>
        <v>29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10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0Z5yR+jU2IopMREkI1R97GS3Yr5b1krdo/QkLdz8HhJeE3jGP6Ie7DFvA/nODiHJU+LxSjpMN8Y18otCinvXw==" saltValue="lSPnKl1e1FnE1apfhLqOI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ileuMwiVR5lCRfSY3cVE5cXucMXEzhM2CBr08xTbx/ApXFrYbFvSp0F+V7tbeP2U/GBTGYJSOyCOW8KOtvIQA==" saltValue="K019Ad2IDAJLyDaaSiAX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v>
      </c>
      <c r="J10" s="180">
        <v>7</v>
      </c>
      <c r="K10" s="180">
        <v>7</v>
      </c>
      <c r="L10" s="180">
        <v>9</v>
      </c>
      <c r="M10" s="180">
        <v>1</v>
      </c>
      <c r="N10" s="180">
        <v>0</v>
      </c>
      <c r="O10" s="180">
        <v>0</v>
      </c>
      <c r="P10" s="180">
        <v>1</v>
      </c>
      <c r="Q10" s="180">
        <v>0</v>
      </c>
      <c r="R10" s="180">
        <v>21</v>
      </c>
      <c r="S10" s="180">
        <v>11</v>
      </c>
      <c r="T10" s="180">
        <v>8</v>
      </c>
      <c r="U10" s="180">
        <v>3</v>
      </c>
      <c r="V10" s="180">
        <v>16</v>
      </c>
      <c r="W10" s="180">
        <v>1</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v>
      </c>
      <c r="AZ10" s="129">
        <f t="shared" si="0"/>
        <v>8</v>
      </c>
      <c r="BA10" s="129">
        <f t="shared" si="0"/>
        <v>3</v>
      </c>
      <c r="BB10" s="129">
        <f t="shared" si="0"/>
        <v>16</v>
      </c>
      <c r="BC10" s="125">
        <f t="shared" si="0"/>
        <v>1</v>
      </c>
      <c r="BD10" s="126">
        <f>IF(ISNUMBER(BA10/AZ10),BA10/AZ10," - ")</f>
        <v>0.375</v>
      </c>
      <c r="BE10" s="127">
        <f>IF(ISNUMBER(BB10/BA10),BB10/BA10, " - ")</f>
        <v>5.333333333333333</v>
      </c>
      <c r="BF10" s="127">
        <f>IF(ISNUMBER(BC10/BA10),BC10/BA10, " - ")</f>
        <v>0.33333333333333331</v>
      </c>
      <c r="BG10" s="195">
        <f>IF(ISNUMBER((AY10+AZ10)/BA10),(AY10+AZ10)/BA10," - ")</f>
        <v>6.333333333333333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855</v>
      </c>
      <c r="J12" s="182">
        <v>208</v>
      </c>
      <c r="K12" s="182">
        <v>382</v>
      </c>
      <c r="L12" s="182">
        <v>681</v>
      </c>
      <c r="M12" s="182">
        <v>77</v>
      </c>
      <c r="N12" s="182">
        <v>198</v>
      </c>
      <c r="O12" s="180">
        <v>163</v>
      </c>
      <c r="P12" s="182">
        <v>137</v>
      </c>
      <c r="Q12" s="182">
        <v>202</v>
      </c>
      <c r="R12" s="182">
        <v>1377</v>
      </c>
      <c r="S12" s="182">
        <v>749</v>
      </c>
      <c r="T12" s="182">
        <v>394</v>
      </c>
      <c r="U12" s="182">
        <v>382</v>
      </c>
      <c r="V12" s="182">
        <v>761</v>
      </c>
      <c r="W12" s="182">
        <v>127</v>
      </c>
      <c r="X12" s="188">
        <v>108</v>
      </c>
      <c r="Y12" s="190">
        <v>43</v>
      </c>
      <c r="Z12" s="180">
        <v>32</v>
      </c>
      <c r="AA12" s="180">
        <v>38</v>
      </c>
      <c r="AB12" s="180">
        <v>37</v>
      </c>
      <c r="AC12" s="182">
        <v>0</v>
      </c>
      <c r="AD12" s="182">
        <v>0</v>
      </c>
      <c r="AE12" s="182">
        <v>0</v>
      </c>
      <c r="AF12" s="188">
        <v>0</v>
      </c>
      <c r="AG12" s="201">
        <v>16</v>
      </c>
      <c r="AH12" s="182">
        <v>21</v>
      </c>
      <c r="AI12" s="182">
        <v>28</v>
      </c>
      <c r="AJ12" s="202">
        <v>9</v>
      </c>
      <c r="AK12" s="181">
        <v>0</v>
      </c>
      <c r="AL12" s="182">
        <v>0</v>
      </c>
      <c r="AM12" s="182">
        <v>0</v>
      </c>
      <c r="AN12" s="188">
        <v>0</v>
      </c>
      <c r="AO12" s="258">
        <v>2</v>
      </c>
      <c r="AP12" s="154">
        <v>2</v>
      </c>
      <c r="AQ12" s="154">
        <v>2</v>
      </c>
      <c r="AR12" s="153">
        <v>2</v>
      </c>
      <c r="AS12" s="339" t="s">
        <v>794</v>
      </c>
      <c r="AT12" s="202"/>
      <c r="AU12" s="201"/>
      <c r="AV12" s="202"/>
      <c r="AW12" s="201"/>
      <c r="AX12" s="202"/>
      <c r="AY12" s="126">
        <f t="shared" si="1"/>
        <v>765</v>
      </c>
      <c r="AZ12" s="127">
        <f t="shared" si="1"/>
        <v>415</v>
      </c>
      <c r="BA12" s="127">
        <f t="shared" si="1"/>
        <v>410</v>
      </c>
      <c r="BB12" s="127">
        <f t="shared" si="1"/>
        <v>770</v>
      </c>
      <c r="BC12" s="125">
        <f>IF(ISNUMBER(X12),X12," - ")</f>
        <v>108</v>
      </c>
      <c r="BD12" s="126">
        <f t="shared" si="2"/>
        <v>0.98795180722891562</v>
      </c>
      <c r="BE12" s="127">
        <f t="shared" si="3"/>
        <v>1.8780487804878048</v>
      </c>
      <c r="BF12" s="127">
        <f t="shared" si="4"/>
        <v>0.26341463414634148</v>
      </c>
      <c r="BG12" s="195">
        <f t="shared" si="5"/>
        <v>2.8780487804878048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864</v>
      </c>
      <c r="J13" s="183">
        <f t="shared" si="6"/>
        <v>215</v>
      </c>
      <c r="K13" s="183">
        <f t="shared" si="6"/>
        <v>389</v>
      </c>
      <c r="L13" s="183">
        <f t="shared" si="6"/>
        <v>690</v>
      </c>
      <c r="M13" s="183">
        <f t="shared" si="6"/>
        <v>78</v>
      </c>
      <c r="N13" s="183">
        <f t="shared" si="6"/>
        <v>198</v>
      </c>
      <c r="O13" s="183">
        <f t="shared" si="6"/>
        <v>163</v>
      </c>
      <c r="P13" s="183">
        <f t="shared" si="6"/>
        <v>138</v>
      </c>
      <c r="Q13" s="183">
        <f t="shared" si="6"/>
        <v>202</v>
      </c>
      <c r="R13" s="183">
        <f t="shared" si="6"/>
        <v>1398</v>
      </c>
      <c r="S13" s="183">
        <f t="shared" si="6"/>
        <v>760</v>
      </c>
      <c r="T13" s="183">
        <f t="shared" si="6"/>
        <v>402</v>
      </c>
      <c r="U13" s="183">
        <f t="shared" si="6"/>
        <v>385</v>
      </c>
      <c r="V13" s="183">
        <f t="shared" si="6"/>
        <v>777</v>
      </c>
      <c r="W13" s="183">
        <f t="shared" si="6"/>
        <v>128</v>
      </c>
      <c r="X13" s="183">
        <f t="shared" si="6"/>
        <v>110</v>
      </c>
      <c r="Y13" s="183">
        <f t="shared" si="6"/>
        <v>43</v>
      </c>
      <c r="Z13" s="183">
        <f t="shared" si="6"/>
        <v>32</v>
      </c>
      <c r="AA13" s="183">
        <f t="shared" si="6"/>
        <v>38</v>
      </c>
      <c r="AB13" s="183">
        <f t="shared" si="6"/>
        <v>37</v>
      </c>
      <c r="AC13" s="183">
        <f t="shared" si="6"/>
        <v>0</v>
      </c>
      <c r="AD13" s="183">
        <f t="shared" si="6"/>
        <v>0</v>
      </c>
      <c r="AE13" s="183">
        <f t="shared" si="6"/>
        <v>0</v>
      </c>
      <c r="AF13" s="183">
        <f>SUBTOTAL(9,AF9:AF12)</f>
        <v>0</v>
      </c>
      <c r="AG13" s="183">
        <f t="shared" ref="AG13:AT13" si="7">SUBTOTAL(9,AG8:AG12)</f>
        <v>16</v>
      </c>
      <c r="AH13" s="183">
        <f t="shared" si="7"/>
        <v>21</v>
      </c>
      <c r="AI13" s="183">
        <f t="shared" si="7"/>
        <v>28</v>
      </c>
      <c r="AJ13" s="183">
        <f t="shared" si="7"/>
        <v>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776</v>
      </c>
      <c r="AZ13" s="183">
        <f>SUBTOTAL(9,AZ8:AZ12)</f>
        <v>423</v>
      </c>
      <c r="BA13" s="183">
        <f>SUBTOTAL(9,BA8:BA12)</f>
        <v>413</v>
      </c>
      <c r="BB13" s="183">
        <f>SUBTOTAL(9,BB8:BB12)</f>
        <v>786</v>
      </c>
      <c r="BC13" s="183">
        <f>SUBTOTAL(9,BC8:BC12)</f>
        <v>109</v>
      </c>
      <c r="BD13" s="204">
        <f>IF(ISNUMBER(BA13/AZ13),BA13/AZ13," - ")</f>
        <v>0.97635933806146569</v>
      </c>
      <c r="BE13" s="205">
        <f>IF(ISNUMBER(BB13/BA13),BB13/BA13, " - ")</f>
        <v>1.9031476997578693</v>
      </c>
      <c r="BF13" s="205">
        <f>IF(ISNUMBER(BC13/BA13),BC13/BA13, " - ")</f>
        <v>0.26392251815980627</v>
      </c>
      <c r="BG13" s="206">
        <f>IF(ISNUMBER((AY13+AZ13)/BA13),(AY13+AZ13)/BA13," - ")</f>
        <v>2.9031476997578691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405</v>
      </c>
      <c r="J16" s="182">
        <v>306</v>
      </c>
      <c r="K16" s="182">
        <v>274</v>
      </c>
      <c r="L16" s="182">
        <v>447</v>
      </c>
      <c r="M16" s="182">
        <v>30</v>
      </c>
      <c r="N16" s="182">
        <v>173</v>
      </c>
      <c r="O16" s="180">
        <v>1</v>
      </c>
      <c r="P16" s="182">
        <v>7</v>
      </c>
      <c r="Q16" s="182">
        <v>10</v>
      </c>
      <c r="R16" s="182">
        <v>113</v>
      </c>
      <c r="S16" s="182">
        <v>414</v>
      </c>
      <c r="T16" s="182">
        <v>353</v>
      </c>
      <c r="U16" s="182">
        <v>427</v>
      </c>
      <c r="V16" s="182">
        <v>342</v>
      </c>
      <c r="W16" s="182">
        <v>62</v>
      </c>
      <c r="X16" s="188">
        <v>243</v>
      </c>
      <c r="Y16" s="201">
        <v>0</v>
      </c>
      <c r="Z16" s="182">
        <v>0</v>
      </c>
      <c r="AA16" s="182">
        <v>0</v>
      </c>
      <c r="AB16" s="182">
        <v>0</v>
      </c>
      <c r="AC16" s="182">
        <v>0</v>
      </c>
      <c r="AD16" s="182">
        <v>5</v>
      </c>
      <c r="AE16" s="182">
        <v>5</v>
      </c>
      <c r="AF16" s="188">
        <v>0</v>
      </c>
      <c r="AG16" s="201">
        <v>0</v>
      </c>
      <c r="AH16" s="182">
        <v>0</v>
      </c>
      <c r="AI16" s="182">
        <v>0</v>
      </c>
      <c r="AJ16" s="202">
        <v>0</v>
      </c>
      <c r="AK16" s="181">
        <v>0</v>
      </c>
      <c r="AL16" s="182">
        <v>3</v>
      </c>
      <c r="AM16" s="182">
        <v>3</v>
      </c>
      <c r="AN16" s="188">
        <v>0</v>
      </c>
      <c r="AO16" s="258">
        <v>2</v>
      </c>
      <c r="AP16" s="154">
        <v>2</v>
      </c>
      <c r="AQ16" s="154">
        <v>2</v>
      </c>
      <c r="AR16" s="154">
        <v>2</v>
      </c>
      <c r="AS16" s="339" t="s">
        <v>487</v>
      </c>
      <c r="AT16" s="202"/>
      <c r="AU16" s="201"/>
      <c r="AV16" s="202"/>
      <c r="AW16" s="201"/>
      <c r="AX16" s="202"/>
      <c r="AY16" s="126">
        <f t="shared" si="9"/>
        <v>414</v>
      </c>
      <c r="AZ16" s="127">
        <f t="shared" si="9"/>
        <v>353</v>
      </c>
      <c r="BA16" s="127">
        <f t="shared" si="9"/>
        <v>427</v>
      </c>
      <c r="BB16" s="127">
        <f t="shared" si="9"/>
        <v>342</v>
      </c>
      <c r="BC16" s="125">
        <f>IF(ISNUMBER(W16),W16," - ")</f>
        <v>62</v>
      </c>
      <c r="BD16" s="126">
        <f t="shared" ref="BD16" si="11">IF(ISNUMBER(BA16/AZ16),BA16/AZ16," - ")</f>
        <v>1.2096317280453257</v>
      </c>
      <c r="BE16" s="127">
        <f t="shared" ref="BE16" si="12">IF(ISNUMBER(BB16/BA16),BB16/BA16, " - ")</f>
        <v>0.80093676814988291</v>
      </c>
      <c r="BF16" s="127">
        <f t="shared" ref="BF16" si="13">IF(ISNUMBER(BC16/BA16),BC16/BA16, " - ")</f>
        <v>0.14519906323185011</v>
      </c>
      <c r="BG16" s="195">
        <f t="shared" si="10"/>
        <v>1.7962529274004684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22</v>
      </c>
      <c r="J17" s="182">
        <v>43</v>
      </c>
      <c r="K17" s="182">
        <v>36</v>
      </c>
      <c r="L17" s="182">
        <v>29</v>
      </c>
      <c r="M17" s="182">
        <v>8</v>
      </c>
      <c r="N17" s="182">
        <v>20</v>
      </c>
      <c r="O17" s="182">
        <v>0</v>
      </c>
      <c r="P17" s="182">
        <v>1</v>
      </c>
      <c r="Q17" s="182">
        <v>0</v>
      </c>
      <c r="R17" s="182">
        <v>1</v>
      </c>
      <c r="S17" s="182">
        <v>23</v>
      </c>
      <c r="T17" s="182">
        <v>38</v>
      </c>
      <c r="U17" s="182">
        <v>36</v>
      </c>
      <c r="V17" s="182">
        <v>25</v>
      </c>
      <c r="W17" s="182">
        <v>4</v>
      </c>
      <c r="X17" s="188">
        <v>36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23</v>
      </c>
      <c r="AZ17" s="129">
        <f t="shared" si="14"/>
        <v>38</v>
      </c>
      <c r="BA17" s="129">
        <f t="shared" si="14"/>
        <v>36</v>
      </c>
      <c r="BB17" s="129">
        <f t="shared" si="14"/>
        <v>25</v>
      </c>
      <c r="BC17" s="125">
        <f>IF(ISNUMBER(W17),W17," - ")</f>
        <v>4</v>
      </c>
      <c r="BD17" s="126">
        <f>IF(ISNUMBER(BA17/AZ17),BA17/AZ17," - ")</f>
        <v>0.94736842105263153</v>
      </c>
      <c r="BE17" s="127">
        <f>IF(ISNUMBER(BB17/BA17),BB17/BA17, " - ")</f>
        <v>0.69444444444444442</v>
      </c>
      <c r="BF17" s="127">
        <f>IF(ISNUMBER(BC17/BA17),BC17/BA17, " - ")</f>
        <v>0.1111111111111111</v>
      </c>
      <c r="BG17" s="195">
        <f>IF(ISNUMBER((AY17+AZ17)/BA17),(AY17+AZ17)/BA17," - ")</f>
        <v>1.6944444444444444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427</v>
      </c>
      <c r="J18" s="183">
        <f t="shared" si="15"/>
        <v>349</v>
      </c>
      <c r="K18" s="183">
        <f t="shared" si="15"/>
        <v>310</v>
      </c>
      <c r="L18" s="183">
        <f t="shared" si="15"/>
        <v>476</v>
      </c>
      <c r="M18" s="183">
        <f t="shared" si="15"/>
        <v>38</v>
      </c>
      <c r="N18" s="183">
        <f t="shared" si="15"/>
        <v>193</v>
      </c>
      <c r="O18" s="183">
        <f t="shared" si="15"/>
        <v>1</v>
      </c>
      <c r="P18" s="183">
        <f t="shared" si="15"/>
        <v>8</v>
      </c>
      <c r="Q18" s="183">
        <f t="shared" si="15"/>
        <v>10</v>
      </c>
      <c r="R18" s="183">
        <f t="shared" si="15"/>
        <v>114</v>
      </c>
      <c r="S18" s="183">
        <f t="shared" si="15"/>
        <v>437</v>
      </c>
      <c r="T18" s="183">
        <f t="shared" si="15"/>
        <v>391</v>
      </c>
      <c r="U18" s="183">
        <f t="shared" si="15"/>
        <v>463</v>
      </c>
      <c r="V18" s="183">
        <f t="shared" si="15"/>
        <v>367</v>
      </c>
      <c r="W18" s="183">
        <f t="shared" si="15"/>
        <v>66</v>
      </c>
      <c r="X18" s="183">
        <f t="shared" si="15"/>
        <v>279</v>
      </c>
      <c r="Y18" s="183">
        <f t="shared" si="15"/>
        <v>0</v>
      </c>
      <c r="Z18" s="183">
        <f t="shared" si="15"/>
        <v>0</v>
      </c>
      <c r="AA18" s="183">
        <f t="shared" si="15"/>
        <v>0</v>
      </c>
      <c r="AB18" s="183">
        <f t="shared" si="15"/>
        <v>0</v>
      </c>
      <c r="AC18" s="183">
        <f t="shared" si="15"/>
        <v>0</v>
      </c>
      <c r="AD18" s="183">
        <f t="shared" si="15"/>
        <v>5</v>
      </c>
      <c r="AE18" s="183">
        <f t="shared" si="15"/>
        <v>5</v>
      </c>
      <c r="AF18" s="183">
        <f t="shared" si="15"/>
        <v>0</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437</v>
      </c>
      <c r="AZ18" s="183">
        <f>SUBTOTAL(9,AZ14:AZ17)</f>
        <v>391</v>
      </c>
      <c r="BA18" s="183">
        <f>SUBTOTAL(9,BA14:BA17)</f>
        <v>463</v>
      </c>
      <c r="BB18" s="183">
        <f>SUBTOTAL(9,BB14:BB17)</f>
        <v>367</v>
      </c>
      <c r="BC18" s="183">
        <f>SUBTOTAL(9,BC14:BC17)</f>
        <v>66</v>
      </c>
      <c r="BD18" s="204">
        <f>IF(ISNUMBER(BA18/AZ18),BA18/AZ18," - ")</f>
        <v>1.1841432225063939</v>
      </c>
      <c r="BE18" s="205">
        <f>IF(ISNUMBER(BB18/BA18),BB18/BA18, " - ")</f>
        <v>0.79265658747300216</v>
      </c>
      <c r="BF18" s="205">
        <f>IF(ISNUMBER(BC18/BA18),BC18/BA18, " - ")</f>
        <v>0.14254859611231102</v>
      </c>
      <c r="BG18" s="206">
        <f>IF(ISNUMBER((AY18+AZ18)/BA18),(AY18+AZ18)/BA18," - ")</f>
        <v>1.7883369330453565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1291</v>
      </c>
      <c r="J19" s="134">
        <f t="shared" si="18"/>
        <v>564</v>
      </c>
      <c r="K19" s="134">
        <f t="shared" si="18"/>
        <v>699</v>
      </c>
      <c r="L19" s="134">
        <f t="shared" si="18"/>
        <v>1166</v>
      </c>
      <c r="M19" s="134">
        <f t="shared" si="18"/>
        <v>116</v>
      </c>
      <c r="N19" s="134">
        <f t="shared" si="18"/>
        <v>391</v>
      </c>
      <c r="O19" s="134">
        <f t="shared" si="18"/>
        <v>164</v>
      </c>
      <c r="P19" s="134">
        <f t="shared" si="18"/>
        <v>146</v>
      </c>
      <c r="Q19" s="134">
        <f t="shared" si="18"/>
        <v>212</v>
      </c>
      <c r="R19" s="134">
        <f t="shared" si="18"/>
        <v>1512</v>
      </c>
      <c r="S19" s="134">
        <f t="shared" si="18"/>
        <v>1197</v>
      </c>
      <c r="T19" s="134">
        <f t="shared" si="18"/>
        <v>793</v>
      </c>
      <c r="U19" s="134">
        <f t="shared" si="18"/>
        <v>848</v>
      </c>
      <c r="V19" s="134">
        <f t="shared" si="18"/>
        <v>1144</v>
      </c>
      <c r="W19" s="134">
        <f t="shared" si="18"/>
        <v>194</v>
      </c>
      <c r="X19" s="134">
        <f t="shared" si="18"/>
        <v>389</v>
      </c>
      <c r="Y19" s="134">
        <f t="shared" si="18"/>
        <v>43</v>
      </c>
      <c r="Z19" s="134">
        <f t="shared" si="18"/>
        <v>32</v>
      </c>
      <c r="AA19" s="134">
        <f t="shared" si="18"/>
        <v>38</v>
      </c>
      <c r="AB19" s="134">
        <f t="shared" si="18"/>
        <v>37</v>
      </c>
      <c r="AC19" s="134">
        <f t="shared" si="18"/>
        <v>0</v>
      </c>
      <c r="AD19" s="134">
        <f t="shared" si="18"/>
        <v>5</v>
      </c>
      <c r="AE19" s="134">
        <f t="shared" si="18"/>
        <v>5</v>
      </c>
      <c r="AF19" s="134">
        <f t="shared" si="18"/>
        <v>0</v>
      </c>
      <c r="AG19" s="134">
        <f t="shared" si="18"/>
        <v>16</v>
      </c>
      <c r="AH19" s="134">
        <f t="shared" si="18"/>
        <v>21</v>
      </c>
      <c r="AI19" s="134">
        <f t="shared" si="18"/>
        <v>28</v>
      </c>
      <c r="AJ19" s="134">
        <f t="shared" si="18"/>
        <v>9</v>
      </c>
      <c r="AK19" s="134">
        <f t="shared" si="18"/>
        <v>0</v>
      </c>
      <c r="AL19" s="134">
        <f t="shared" si="18"/>
        <v>3</v>
      </c>
      <c r="AM19" s="134">
        <f t="shared" si="18"/>
        <v>3</v>
      </c>
      <c r="AN19" s="209">
        <f t="shared" si="18"/>
        <v>0</v>
      </c>
      <c r="AO19" s="210">
        <v>3</v>
      </c>
      <c r="AP19" s="210">
        <v>2</v>
      </c>
      <c r="AQ19" s="210">
        <v>2</v>
      </c>
      <c r="AR19" s="210">
        <v>2</v>
      </c>
      <c r="AS19" s="152">
        <f t="shared" si="18"/>
        <v>0</v>
      </c>
      <c r="AT19" s="152">
        <f t="shared" si="18"/>
        <v>0</v>
      </c>
      <c r="AU19" s="210"/>
      <c r="AV19" s="211"/>
      <c r="AW19" s="210"/>
      <c r="AX19" s="211"/>
      <c r="AY19" s="133">
        <f>SUBTOTAL(9,AY9:AY18)</f>
        <v>1213</v>
      </c>
      <c r="AZ19" s="134">
        <f>SUBTOTAL(9,AZ9:AZ18)</f>
        <v>814</v>
      </c>
      <c r="BA19" s="134">
        <f>SUBTOTAL(9,BA9:BA18)</f>
        <v>876</v>
      </c>
      <c r="BB19" s="134">
        <f>SUBTOTAL(9,BB9:BB18)</f>
        <v>1153</v>
      </c>
      <c r="BC19" s="135">
        <f>SUBTOTAL(9,BC9:BC18)</f>
        <v>175</v>
      </c>
      <c r="BD19" s="212">
        <f>IF(ISNUMBER(BA19/AZ19),BA19/AZ19," - ")</f>
        <v>1.0761670761670761</v>
      </c>
      <c r="BE19" s="209">
        <f>IF(ISNUMBER(BB19/BA19),BB19/BA19, " - ")</f>
        <v>1.3162100456621004</v>
      </c>
      <c r="BF19" s="209">
        <f>IF(ISNUMBER(BC19/BA19),BC19/BA19, " - ")</f>
        <v>0.1997716894977169</v>
      </c>
      <c r="BG19" s="135">
        <f>IF(ISNUMBER((AY19+AZ19)/BA19),(AY19+AZ19)/BA19," - ")</f>
        <v>2.3139269406392695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XhfPE7nSw9qYeej5IRw/E4lv6iYF2+rNx85pugUrpxKZStK/KGmC2i6TJkTXqhb7LFBg5vitrZRICU/5g+M3A==" saltValue="Ougu64tOU0NTm8YNLV7sv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ZVTPTgF68kMvxMIbMkbqG8Q69vFgwW2hL0EYAvuaJ04kFBoJjUWSF9JWhpdlAp6EMJXLZYWOFf6Tae7gFcGww==" saltValue="rWWd6eDqJFjoyNvHN7Iqm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TAFALLA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0</v>
      </c>
      <c r="AD10" s="333"/>
      <c r="AE10" s="483"/>
      <c r="AF10" s="331">
        <f>IF(ISNUMBER(Datos!L10),Datos!L10,"-")</f>
        <v>9</v>
      </c>
      <c r="AG10" s="333"/>
      <c r="AH10" s="333"/>
      <c r="AI10" s="333"/>
      <c r="AJ10" s="333"/>
      <c r="AK10" s="333"/>
      <c r="AL10" s="478"/>
      <c r="AM10" s="334">
        <f>IF(ISNUMBER(Datos!R10),Datos!R10," - ")</f>
        <v>21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2.5714285714285716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32</v>
      </c>
      <c r="O12" s="333"/>
      <c r="P12" s="333"/>
      <c r="Q12" s="225">
        <f>IF(ISNUMBER(Datos!P12),Datos!P12,0)</f>
        <v>137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37</v>
      </c>
      <c r="AI12" s="333" t="str">
        <f>IF(ISNUMBER(Datos!CD12),Datos!CD12,"-")</f>
        <v>-</v>
      </c>
      <c r="AJ12" s="333" t="str">
        <f>IF(ISNUMBER(Datos!EN12),Datos!EN12," - ")</f>
        <v xml:space="preserve"> - </v>
      </c>
      <c r="AK12" s="333"/>
      <c r="AL12" s="478"/>
      <c r="AM12" s="334">
        <f>IF(ISNUMBER(Datos!R12),Datos!R12," - ")</f>
        <v>1377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77</v>
      </c>
      <c r="BD12" s="228">
        <f>IF(ISNUMBER(Datos!N12),Datos!N12," - ")</f>
        <v>198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1.75</v>
      </c>
      <c r="BH12" s="259">
        <f>IF(ISNUMBER(((IF(J_V="SI",Datos!L12/Datos!K12,(Datos!L12+Datos!AB12)/(Datos!K12+Datos!AA12)))*11)/factor_trimestre),((IF(J_V="SI",Datos!L12/Datos!K12,(Datos!L12+Datos!AB12)/(Datos!K12+Datos!AA12)))*11)/factor_trimestre," - ")</f>
        <v>3.4190476190476189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-4.5076282940360611E-2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9</v>
      </c>
      <c r="G13" s="897">
        <f t="shared" si="0"/>
        <v>9</v>
      </c>
      <c r="H13" s="898">
        <f t="shared" si="0"/>
        <v>0</v>
      </c>
      <c r="I13" s="897">
        <f t="shared" si="0"/>
        <v>0</v>
      </c>
      <c r="J13" s="866">
        <f t="shared" si="0"/>
        <v>0</v>
      </c>
      <c r="K13" s="866">
        <f t="shared" si="0"/>
        <v>0</v>
      </c>
      <c r="L13" s="898">
        <f t="shared" si="0"/>
        <v>0</v>
      </c>
      <c r="M13" s="898">
        <f t="shared" si="0"/>
        <v>0</v>
      </c>
      <c r="N13" s="898">
        <f t="shared" si="0"/>
        <v>32</v>
      </c>
      <c r="O13" s="899">
        <f t="shared" si="0"/>
        <v>0</v>
      </c>
      <c r="P13" s="899">
        <f t="shared" si="0"/>
        <v>0</v>
      </c>
      <c r="Q13" s="898">
        <f t="shared" si="0"/>
        <v>138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202</v>
      </c>
      <c r="AD13" s="898">
        <f t="shared" si="1"/>
        <v>0</v>
      </c>
      <c r="AE13" s="898">
        <f t="shared" si="1"/>
        <v>0</v>
      </c>
      <c r="AF13" s="898">
        <f t="shared" si="1"/>
        <v>9</v>
      </c>
      <c r="AG13" s="898">
        <f t="shared" si="1"/>
        <v>0</v>
      </c>
      <c r="AH13" s="898">
        <f t="shared" si="1"/>
        <v>37</v>
      </c>
      <c r="AI13" s="898">
        <f t="shared" si="1"/>
        <v>0</v>
      </c>
      <c r="AJ13" s="898">
        <f t="shared" si="1"/>
        <v>0</v>
      </c>
      <c r="AK13" s="898">
        <f t="shared" si="1"/>
        <v>0</v>
      </c>
      <c r="AL13" s="898">
        <f t="shared" si="1"/>
        <v>0</v>
      </c>
      <c r="AM13" s="898">
        <f t="shared" si="1"/>
        <v>1398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78</v>
      </c>
      <c r="BD13" s="898">
        <f t="shared" si="1"/>
        <v>198</v>
      </c>
      <c r="BE13" s="898">
        <f t="shared" si="1"/>
        <v>0</v>
      </c>
      <c r="BF13" s="898">
        <f t="shared" si="1"/>
        <v>0</v>
      </c>
      <c r="BG13" s="898">
        <f>IF(ISNUMBER(Datos!K13/Datos!J13),Datos!K13/Datos!J13," - ")</f>
        <v>1.8093023255813954</v>
      </c>
      <c r="BH13" s="902">
        <f>IF(ISNUMBER(((Datos!L13/Datos!K13)*11)/factor_trimestre),((Datos!L13/Datos!K13)*11)/factor_trimestre," - ")</f>
        <v>3.547557840616967</v>
      </c>
      <c r="BI13" s="898">
        <f>IF(ISNUMBER('Resol  Asuntos'!D13/NºAsuntos!G13),'Resol  Asuntos'!D13/NºAsuntos!G13," - ")</f>
        <v>0.18266978922716628</v>
      </c>
      <c r="BJ13" s="898" t="str">
        <f>IF(ISNUMBER(Datos!CI13/Datos!CJ13),Datos!CI13/Datos!CJ13," - ")</f>
        <v xml:space="preserve"> - </v>
      </c>
      <c r="BK13" s="898">
        <f>SUBTOTAL(9,BK8:BK12)</f>
        <v>0</v>
      </c>
      <c r="BL13" s="898">
        <f>IF(ISNUMBER((I13-AB13+L13)/(F13)),(I13-AB13+L13)/(F13)," - ")</f>
        <v>-0.77777777777777779</v>
      </c>
      <c r="BM13" s="903">
        <f>SUBTOTAL(9,BM9:BM12)</f>
        <v>4.9237170596393917E-3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415</v>
      </c>
      <c r="G16" s="597">
        <f>IF(ISNUMBER(IF(D_I="SI",Datos!I16,Datos!I16+Datos!AC16)),IF(D_I="SI",Datos!I16,Datos!I16+Datos!AC16)," - ")</f>
        <v>405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274</v>
      </c>
      <c r="AC16" s="225">
        <f>IF(ISNUMBER(Datos!Q16),Datos!Q16," - ")</f>
        <v>10</v>
      </c>
      <c r="AD16" s="333"/>
      <c r="AE16" s="483"/>
      <c r="AF16" s="595">
        <f>IF(ISNUMBER(IF(D_I="SI",Datos!L16,Datos!L16+Datos!AF16)),IF(D_I="SI",Datos!L16,Datos!L16+Datos!AF16)," - ")</f>
        <v>447</v>
      </c>
      <c r="AG16" s="333"/>
      <c r="AH16" s="333"/>
      <c r="AI16" s="333"/>
      <c r="AJ16" s="333"/>
      <c r="AK16" s="333"/>
      <c r="AL16" s="478"/>
      <c r="AM16" s="334">
        <f>IF(ISNUMBER(Datos!R16),Datos!R16," - ")</f>
        <v>113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30</v>
      </c>
      <c r="BD16" s="228">
        <f>IF(ISNUMBER(Datos!N16),Datos!N16," - ")</f>
        <v>173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0.89542483660130723</v>
      </c>
      <c r="BH16" s="259">
        <f>IF(ISNUMBER(((IF(D_I="SI",Datos!L16/Datos!K16,(Datos!L16+Datos!AF16)/(Datos!K16+Datos!AE16)))*11)/factor_trimestre),((IF(D_I="SI",Datos!L16/Datos!K16,(Datos!L16+Datos!AF16)/(Datos!K16+Datos!AE16)))*11)/factor_trimestre," - ")</f>
        <v>3.2627737226277373</v>
      </c>
      <c r="BI16" s="242">
        <f>IF(ISNUMBER('Resol  Asuntos'!D16/NºAsuntos!G16),'Resol  Asuntos'!D16/NºAsuntos!G16," - ")</f>
        <v>0.10948905109489052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36</v>
      </c>
      <c r="AC17" s="225">
        <f>IF(ISNUMBER(Datos!Q17),Datos!Q17," - ")</f>
        <v>0</v>
      </c>
      <c r="AD17" s="333"/>
      <c r="AE17" s="483"/>
      <c r="AF17" s="331">
        <f>IF(ISNUMBER(Datos!L17),Datos!L17,"-")</f>
        <v>29</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20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0.83720930232558144</v>
      </c>
      <c r="BH17" s="259">
        <f>IF(ISNUMBER(((IF(D_I="SI",Datos!L17/Datos!K17,(Datos!L17+Datos!AF17)/(Datos!K17+Datos!AE17)))*11)/factor_trimestre),((IF(D_I="SI",Datos!L17/Datos!K17,(Datos!L17+Datos!AF17)/(Datos!K17+Datos!AE17)))*11)/factor_trimestre," - ")</f>
        <v>1.6111111111111109</v>
      </c>
      <c r="BI17" s="242">
        <f>IF(ISNUMBER('Resol  Asuntos'!D17/NºAsuntos!G17),'Resol  Asuntos'!D17/NºAsuntos!G17," - ")</f>
        <v>0.22222222222222221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415</v>
      </c>
      <c r="G18" s="897">
        <f>SUBTOTAL(9,G15:G17)</f>
        <v>427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310</v>
      </c>
      <c r="AC18" s="898">
        <f t="shared" si="4"/>
        <v>10</v>
      </c>
      <c r="AD18" s="898">
        <f t="shared" si="4"/>
        <v>0</v>
      </c>
      <c r="AE18" s="898">
        <f t="shared" si="4"/>
        <v>0</v>
      </c>
      <c r="AF18" s="898">
        <f t="shared" si="4"/>
        <v>476</v>
      </c>
      <c r="AG18" s="898">
        <f t="shared" si="4"/>
        <v>0</v>
      </c>
      <c r="AH18" s="898">
        <f t="shared" si="4"/>
        <v>0</v>
      </c>
      <c r="AI18" s="898">
        <f t="shared" si="4"/>
        <v>0</v>
      </c>
      <c r="AJ18" s="898">
        <f t="shared" si="4"/>
        <v>0</v>
      </c>
      <c r="AK18" s="898">
        <f t="shared" si="4"/>
        <v>0</v>
      </c>
      <c r="AL18" s="898">
        <f t="shared" si="4"/>
        <v>0</v>
      </c>
      <c r="AM18" s="898">
        <f t="shared" si="4"/>
        <v>114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38</v>
      </c>
      <c r="BD18" s="898">
        <f t="shared" si="4"/>
        <v>193</v>
      </c>
      <c r="BE18" s="898">
        <f t="shared" si="4"/>
        <v>0</v>
      </c>
      <c r="BF18" s="898">
        <f t="shared" si="4"/>
        <v>0</v>
      </c>
      <c r="BG18" s="898">
        <f>IF(ISNUMBER(Datos!K18/Datos!J18),Datos!K18/Datos!J18," - ")</f>
        <v>0.88825214899713467</v>
      </c>
      <c r="BH18" s="902">
        <f>IF(ISNUMBER(((Datos!L18/Datos!K18)*11)/factor_trimestre),((Datos!L18/Datos!K18)*11)/factor_trimestre," - ")</f>
        <v>3.0709677419354837</v>
      </c>
      <c r="BI18" s="898">
        <f>SUBTOTAL(9,BI15:BI17)</f>
        <v>0.3317112733171127</v>
      </c>
      <c r="BJ18" s="898">
        <f>SUBTOTAL(9,BJ15:BJ17)</f>
        <v>0</v>
      </c>
      <c r="BK18" s="898">
        <f>SUBTOTAL(9,BK15:BK17)</f>
        <v>0</v>
      </c>
      <c r="BL18" s="898">
        <f>IF(ISNUMBER((I18-AB18+L18)/(F18)),(I18-AB18+L18)/(F18)," - ")</f>
        <v>-0.74698795180722888</v>
      </c>
      <c r="BM18" s="904">
        <f>IF(ISNUMBER((Datos!P18-Datos!Q18)/(Datos!R18-Datos!P18+Datos!Q18)),(Datos!P18-Datos!Q18)/(Datos!R18-Datos!P18+Datos!Q18)," - ")</f>
        <v>-1.7241379310344827E-2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424</v>
      </c>
      <c r="G19" s="819">
        <f t="shared" si="6"/>
        <v>436</v>
      </c>
      <c r="H19" s="821">
        <f t="shared" si="6"/>
        <v>0</v>
      </c>
      <c r="I19" s="819">
        <f t="shared" si="6"/>
        <v>0</v>
      </c>
      <c r="J19" s="821">
        <f t="shared" si="6"/>
        <v>0</v>
      </c>
      <c r="K19" s="821">
        <f t="shared" si="6"/>
        <v>0</v>
      </c>
      <c r="L19" s="880">
        <f t="shared" si="6"/>
        <v>0</v>
      </c>
      <c r="M19" s="880">
        <f t="shared" si="6"/>
        <v>0</v>
      </c>
      <c r="N19" s="880">
        <f t="shared" si="6"/>
        <v>32</v>
      </c>
      <c r="O19" s="880">
        <f t="shared" si="6"/>
        <v>0</v>
      </c>
      <c r="P19" s="880">
        <f t="shared" si="6"/>
        <v>0</v>
      </c>
      <c r="Q19" s="821">
        <f t="shared" si="6"/>
        <v>146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317</v>
      </c>
      <c r="AC19" s="820">
        <f t="shared" si="7"/>
        <v>212</v>
      </c>
      <c r="AD19" s="820">
        <f t="shared" si="7"/>
        <v>0</v>
      </c>
      <c r="AE19" s="820">
        <f t="shared" si="7"/>
        <v>0</v>
      </c>
      <c r="AF19" s="827">
        <f t="shared" si="7"/>
        <v>485</v>
      </c>
      <c r="AG19" s="827">
        <f t="shared" si="7"/>
        <v>0</v>
      </c>
      <c r="AH19" s="827">
        <f t="shared" si="7"/>
        <v>37</v>
      </c>
      <c r="AI19" s="827">
        <f t="shared" si="7"/>
        <v>0</v>
      </c>
      <c r="AJ19" s="820">
        <f t="shared" si="7"/>
        <v>0</v>
      </c>
      <c r="AK19" s="827">
        <f t="shared" si="7"/>
        <v>0</v>
      </c>
      <c r="AL19" s="827">
        <f t="shared" si="7"/>
        <v>0</v>
      </c>
      <c r="AM19" s="827">
        <f t="shared" si="7"/>
        <v>1512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116</v>
      </c>
      <c r="BD19" s="819">
        <f t="shared" si="7"/>
        <v>391</v>
      </c>
      <c r="BE19" s="819">
        <f t="shared" si="7"/>
        <v>0</v>
      </c>
      <c r="BF19" s="829">
        <f t="shared" si="7"/>
        <v>0</v>
      </c>
      <c r="BG19" s="914">
        <f>IF(ISNUMBER(Datos!K19/Datos!J19),Datos!K19/Datos!J19," - ")</f>
        <v>1.2393617021276595</v>
      </c>
      <c r="BH19" s="914">
        <f>IF(ISNUMBER(((Datos!L19/Datos!K19)*11)/factor_trimestre),((Datos!L19/Datos!K19)*11)/factor_trimestre," - ")</f>
        <v>3.3361945636623749</v>
      </c>
      <c r="BI19" s="812">
        <f>IF(ISNUMBER(Datos!J19/Datos!I19),Datos!J19/Datos!I19," - ")</f>
        <v>0.43687064291247096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-0.74764150943396224</v>
      </c>
      <c r="BM19" s="888">
        <f>IF(ISNUMBER((Datos!P19-Datos!Q19+R19)/(Datos!R19-Datos!P19+Datos!Q19-R19)),(Datos!P19-Datos!Q19+R19)/(Datos!R19-Datos!P19+Datos!Q19-R19)," - ")</f>
        <v>-4.1825095057034217E-2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234.40420929098806</v>
      </c>
      <c r="G21" s="551">
        <f>IF(ISNUMBER(STDEV(G8:G18)),STDEV(G8:G18),"-")</f>
        <v>220.75053793818941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151.80480888298632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33.019186341681205</v>
      </c>
      <c r="BD21" s="550"/>
      <c r="BE21" s="550">
        <f>IF(ISNUMBER(STDEV(BE8:BE18)),STDEV(BE8:BE18),"-")</f>
        <v>0</v>
      </c>
      <c r="BF21" s="555">
        <f>IF(ISNUMBER(STDEV(BF8:BF18)),STDEV(BF8:BF18),"-")</f>
        <v>0</v>
      </c>
      <c r="BG21" s="774">
        <f>IF(ISNUMBER(STDEV(BG8:BG18)),STDEV(BG8:BG18),"-")</f>
        <v>0.4550282962343683</v>
      </c>
      <c r="BH21" s="775">
        <f>IF(ISNUMBER(STDEV(BH8:BH18)),STDEV(BH8:BH18),"-")</f>
        <v>0.72355028164917468</v>
      </c>
      <c r="BI21" s="248">
        <f>IF(ISNUMBER(STDEV(BI8:BI18)),STDEV(BI8:BI18),"-")</f>
        <v>9.2741808084152444E-2</v>
      </c>
      <c r="BJ21" s="229" t="str">
        <f>IF(ISNUMBER(BL21/BM21),BL21/BM21," - ")</f>
        <v xml:space="preserve"> - </v>
      </c>
      <c r="BK21" s="574"/>
      <c r="BL21" s="558">
        <f>IF(ISNUMBER(STDEV(BL8:BL18)),STDEV(BL8:BL18),"-")</f>
        <v>2.1771694735328809E-2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10 dic. 2025</v>
      </c>
    </row>
    <row r="32" spans="1:78">
      <c r="C32" s="526"/>
      <c r="D32" s="526"/>
    </row>
  </sheetData>
  <sheetProtection algorithmName="SHA-512" hashValue="yE0hCGe8P0yW5bBVxKN44RxmG6wQeWFIj3bj1CYG48m6eDBZGVXyOKoVxEtm+dfsUi061R0e1ieU4LJAGphixw==" saltValue="wU15tvPj6n1t+OxcZCvm1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NAVARRA</v>
      </c>
    </row>
    <row r="2" spans="1:78" ht="16.5" customHeight="1">
      <c r="C2" s="527" t="str">
        <f>Criterios!A10 &amp;"  "&amp;Criterios!B10 &amp; "  " &amp; IF(NOT(ISBLANK(Criterios!A11)),Criterios!A11 &amp;"  "&amp;Criterios!B11,"")</f>
        <v>Provincias  NAVARRA  Resumenes por Partidos Judiciales  TAFALLA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v>
      </c>
      <c r="G10" s="224">
        <f>IF(ISNUMBER(Datos!I10),Datos!I10," - ")</f>
        <v>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0</v>
      </c>
      <c r="AA10" s="331">
        <f>IF(ISNUMBER(Datos!L10),Datos!L10,"-")</f>
        <v>9</v>
      </c>
      <c r="AB10" s="333"/>
      <c r="AC10" s="333"/>
      <c r="AD10" s="483"/>
      <c r="AE10" s="483">
        <f>IF(ISNUMBER(Datos!R10),Datos!R10," - ")</f>
        <v>21</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2.5714285714285716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202</v>
      </c>
      <c r="AA12" s="331" t="str">
        <f>IF(ISNUMBER(IF(J_V="SI",Datos!L12,Datos!L12+Datos!AB12)-IF(Monitorios="SI",Datos!CD12,0)),
                          IF(J_V="SI",Datos!L12,Datos!L12+Datos!AB12)-IF(Monitorios="SI",Datos!CD12,0),
                          " - ")</f>
        <v xml:space="preserve"> - </v>
      </c>
      <c r="AB12" s="333"/>
      <c r="AC12" s="333"/>
      <c r="AD12" s="483"/>
      <c r="AE12" s="483">
        <f>IF(ISNUMBER(Datos!R12),Datos!R12," - ")</f>
        <v>1377</v>
      </c>
      <c r="AF12" s="228" t="str">
        <f>IF(ISNUMBER(Datos!BV12),Datos!BV12," - ")</f>
        <v xml:space="preserve"> - </v>
      </c>
      <c r="AG12" s="224" t="str">
        <f>IF(ISNUMBER(Datos!DV12),Datos!DV12," - ")</f>
        <v xml:space="preserve"> - </v>
      </c>
      <c r="AH12" s="297"/>
      <c r="AI12" s="226"/>
      <c r="AJ12" s="224">
        <f>IF(ISNUMBER(Datos!M12),Datos!M12," - ")</f>
        <v>77</v>
      </c>
      <c r="AK12" s="228">
        <f>IF(ISNUMBER(Datos!N12),Datos!N12," - ")</f>
        <v>198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3.4190476190476189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-4.5076282940360611E-2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9</v>
      </c>
      <c r="G13" s="897">
        <f>SUBTOTAL(9,G8:G12)</f>
        <v>9</v>
      </c>
      <c r="H13" s="907"/>
      <c r="I13" s="897">
        <f t="shared" ref="I13:N13" si="0">SUBTOTAL(9,I8:I12)</f>
        <v>0</v>
      </c>
      <c r="J13" s="866">
        <f t="shared" si="0"/>
        <v>0</v>
      </c>
      <c r="K13" s="907">
        <f t="shared" si="0"/>
        <v>0</v>
      </c>
      <c r="L13" s="907">
        <f t="shared" si="0"/>
        <v>0</v>
      </c>
      <c r="M13" s="907">
        <f t="shared" si="0"/>
        <v>0</v>
      </c>
      <c r="N13" s="907">
        <f t="shared" si="0"/>
        <v>138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202</v>
      </c>
      <c r="AA13" s="899">
        <f t="shared" si="2"/>
        <v>9</v>
      </c>
      <c r="AB13" s="899">
        <f t="shared" si="2"/>
        <v>0</v>
      </c>
      <c r="AC13" s="899">
        <f t="shared" si="2"/>
        <v>0</v>
      </c>
      <c r="AD13" s="899">
        <f t="shared" si="2"/>
        <v>0</v>
      </c>
      <c r="AE13" s="899">
        <f t="shared" si="2"/>
        <v>1398</v>
      </c>
      <c r="AF13" s="907">
        <f t="shared" si="2"/>
        <v>0</v>
      </c>
      <c r="AG13" s="907">
        <f t="shared" si="2"/>
        <v>0</v>
      </c>
      <c r="AH13" s="907">
        <f t="shared" si="2"/>
        <v>0</v>
      </c>
      <c r="AI13" s="907">
        <f t="shared" si="2"/>
        <v>0</v>
      </c>
      <c r="AJ13" s="907">
        <f t="shared" si="2"/>
        <v>78</v>
      </c>
      <c r="AK13" s="907">
        <f t="shared" si="2"/>
        <v>198</v>
      </c>
      <c r="AL13" s="907">
        <f t="shared" si="2"/>
        <v>0</v>
      </c>
      <c r="AM13" s="907">
        <f t="shared" si="2"/>
        <v>0</v>
      </c>
      <c r="AN13" s="907">
        <f t="shared" si="2"/>
        <v>0</v>
      </c>
      <c r="AO13" s="903">
        <f>IF(ISNUMBER(((NºAsuntos!I13/NºAsuntos!G13)*11)/factor_trimestre),((NºAsuntos!I13/NºAsuntos!G13)*11)/factor_trimestre," - ")</f>
        <v>3.4051522248243558</v>
      </c>
      <c r="AP13" s="909" t="str">
        <f>IF(ISNUMBER(Datos!CI13/Datos!CJ13),Datos!CI13/Datos!CJ13," - ")</f>
        <v xml:space="preserve"> - </v>
      </c>
      <c r="AQ13" s="927">
        <f t="shared" ref="AQ13:AV13" si="3">SUBTOTAL(9,AQ9:AQ12)</f>
        <v>0</v>
      </c>
      <c r="AR13" s="927">
        <f t="shared" si="3"/>
        <v>4.9237170596393917E-3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415</v>
      </c>
      <c r="G16" s="224">
        <f>IF(ISNUMBER(IF(D_I="SI",Datos!I16,Datos!I16+Datos!AC16)),IF(D_I="SI",Datos!I16,Datos!I16+Datos!AC16)," - ")</f>
        <v>405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274</v>
      </c>
      <c r="Z16" s="618">
        <f>IF(ISNUMBER(Datos!Q16),Datos!Q16," - ")</f>
        <v>10</v>
      </c>
      <c r="AA16" s="331">
        <f>IF(ISNUMBER(IF(D_I="SI",Datos!L16,Datos!L16+Datos!AF16)),IF(D_I="SI",Datos!L16,Datos!L16+Datos!AF16)," - ")</f>
        <v>447</v>
      </c>
      <c r="AB16" s="333"/>
      <c r="AC16" s="333"/>
      <c r="AD16" s="483"/>
      <c r="AE16" s="483">
        <f>IF(ISNUMBER(Datos!R16),Datos!R16," - ")</f>
        <v>113</v>
      </c>
      <c r="AF16" s="228" t="str">
        <f>IF(ISNUMBER(Datos!BV16),Datos!BV16," - ")</f>
        <v xml:space="preserve"> - </v>
      </c>
      <c r="AG16" s="224"/>
      <c r="AH16" s="297"/>
      <c r="AI16" s="226"/>
      <c r="AJ16" s="224">
        <f>IF(ISNUMBER(Datos!M16),Datos!M16," - ")</f>
        <v>30</v>
      </c>
      <c r="AK16" s="228">
        <f>IF(ISNUMBER(Datos!N16),Datos!N16," - ")</f>
        <v>173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3.2627737226277373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36</v>
      </c>
      <c r="Z17" s="618">
        <f>IF(ISNUMBER(Datos!Q17),Datos!Q17," - ")</f>
        <v>0</v>
      </c>
      <c r="AA17" s="331">
        <f>IF(ISNUMBER(Datos!L17),Datos!L17,"-")</f>
        <v>29</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8</v>
      </c>
      <c r="AK17" s="228">
        <f>IF(ISNUMBER(Datos!N17),Datos!N17," - ")</f>
        <v>20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1.6111111111111109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415</v>
      </c>
      <c r="G18" s="897">
        <f>SUBTOTAL(9,G15:G17)</f>
        <v>427</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310</v>
      </c>
      <c r="Z18" s="931">
        <f t="shared" si="5"/>
        <v>10</v>
      </c>
      <c r="AA18" s="931">
        <f t="shared" si="5"/>
        <v>476</v>
      </c>
      <c r="AB18" s="931">
        <f t="shared" si="5"/>
        <v>0</v>
      </c>
      <c r="AC18" s="931">
        <f t="shared" si="5"/>
        <v>0</v>
      </c>
      <c r="AD18" s="931">
        <f t="shared" si="5"/>
        <v>0</v>
      </c>
      <c r="AE18" s="931">
        <f t="shared" si="5"/>
        <v>114</v>
      </c>
      <c r="AF18" s="931">
        <f t="shared" si="5"/>
        <v>0</v>
      </c>
      <c r="AG18" s="931">
        <f t="shared" si="5"/>
        <v>0</v>
      </c>
      <c r="AH18" s="931">
        <f t="shared" si="5"/>
        <v>0</v>
      </c>
      <c r="AI18" s="931">
        <f t="shared" si="5"/>
        <v>0</v>
      </c>
      <c r="AJ18" s="931">
        <f t="shared" si="5"/>
        <v>38</v>
      </c>
      <c r="AK18" s="931">
        <f t="shared" si="5"/>
        <v>193</v>
      </c>
      <c r="AL18" s="931">
        <f t="shared" si="5"/>
        <v>0</v>
      </c>
      <c r="AM18" s="931">
        <f t="shared" si="5"/>
        <v>0</v>
      </c>
      <c r="AN18" s="931">
        <f t="shared" si="5"/>
        <v>0</v>
      </c>
      <c r="AO18" s="933">
        <f>IF(ISNUMBER(((NºAsuntos!I18/NºAsuntos!G18)*11)/factor_trimestre),((NºAsuntos!I18/NºAsuntos!G18)*11)/factor_trimestre," - ")</f>
        <v>3.0709677419354837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424</v>
      </c>
      <c r="G19" s="819">
        <f t="shared" si="7"/>
        <v>436</v>
      </c>
      <c r="H19" s="820">
        <f t="shared" si="7"/>
        <v>0</v>
      </c>
      <c r="I19" s="819">
        <f t="shared" si="7"/>
        <v>0</v>
      </c>
      <c r="J19" s="821">
        <f t="shared" si="7"/>
        <v>0</v>
      </c>
      <c r="K19" s="819">
        <f t="shared" si="7"/>
        <v>0</v>
      </c>
      <c r="L19" s="822">
        <f t="shared" si="7"/>
        <v>0</v>
      </c>
      <c r="M19" s="819">
        <f t="shared" si="7"/>
        <v>0</v>
      </c>
      <c r="N19" s="820">
        <f t="shared" si="7"/>
        <v>146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317</v>
      </c>
      <c r="Z19" s="826">
        <f t="shared" si="8"/>
        <v>212</v>
      </c>
      <c r="AA19" s="827">
        <f t="shared" si="8"/>
        <v>485</v>
      </c>
      <c r="AB19" s="827">
        <f t="shared" si="8"/>
        <v>0</v>
      </c>
      <c r="AC19" s="827">
        <f t="shared" si="8"/>
        <v>0</v>
      </c>
      <c r="AD19" s="828">
        <f t="shared" si="8"/>
        <v>0</v>
      </c>
      <c r="AE19" s="828">
        <f t="shared" si="8"/>
        <v>1512</v>
      </c>
      <c r="AF19" s="829">
        <f t="shared" si="8"/>
        <v>0</v>
      </c>
      <c r="AG19" s="830">
        <f t="shared" si="8"/>
        <v>0</v>
      </c>
      <c r="AH19" s="831">
        <f t="shared" si="8"/>
        <v>0</v>
      </c>
      <c r="AI19" s="829">
        <f t="shared" si="8"/>
        <v>0</v>
      </c>
      <c r="AJ19" s="819">
        <f t="shared" si="8"/>
        <v>116</v>
      </c>
      <c r="AK19" s="819">
        <f t="shared" si="8"/>
        <v>391</v>
      </c>
      <c r="AL19" s="819">
        <f t="shared" si="8"/>
        <v>0</v>
      </c>
      <c r="AM19" s="832">
        <f t="shared" si="8"/>
        <v>0</v>
      </c>
      <c r="AN19" s="822">
        <f>IF(ISNUMBER(Datos!K19/Datos!J19),Datos!K19/Datos!J19," - ")</f>
        <v>1.2393617021276595</v>
      </c>
      <c r="AO19" s="822">
        <f>IF(ISNUMBER(FIND("06",Criterios!A8,1)),(IF(ISNUMBER(((Datos!R19/Datos!Q19)*11)/factor_trimestre),((Datos!R19/Datos!Q19)*11)/factor_trimestre," - ")),(IF(ISNUMBER(((Datos!L19/Datos!K19)*11)/factor_trimestre),((Datos!L19/Datos!K19)*11)/factor_trimestre," - ")))</f>
        <v>3.3361945636623749</v>
      </c>
      <c r="AP19" s="833" t="str">
        <f>IF(ISNUMBER(Datos!CI19/Datos!CJ19),Datos!CI19/Datos!CJ19," - ")</f>
        <v xml:space="preserve"> - </v>
      </c>
      <c r="AQ19" s="833">
        <f>IF(OR(ISNUMBER(FIND("01",Criterios!A8,1)),ISNUMBER(FIND("02",Criterios!A8,1)),ISNUMBER(FIND("03",Criterios!A8,1)),ISNUMBER(FIND("04",Criterios!A8,1))),(J19-Y19+K19)/(F19-K19),(I19-Y19+K19)/(F19-K19))</f>
        <v>-0.74764150943396224</v>
      </c>
      <c r="AR19" s="833">
        <f>IF(ISNUMBER((Datos!P19-Datos!Q19+O19)/(Datos!R19-Datos!P19+Datos!Q19-O19)),(Datos!P19-Datos!Q19+O19)/(Datos!R19-Datos!P19+Datos!Q19-O19)," - ")</f>
        <v>-4.1825095057034217E-2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234.40420929098806</v>
      </c>
      <c r="G21" s="551">
        <f>IF(ISNUMBER(STDEV(G8:G18)),STDEV(G8:G18),"-")</f>
        <v>220.75053793818941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33.019186341681205</v>
      </c>
      <c r="AK21" s="251"/>
      <c r="AL21" s="251">
        <f>IF(ISNUMBER(STDEV(AL8:AL18)),STDEV(AL8:AL18),"-")</f>
        <v>0</v>
      </c>
      <c r="AM21" s="253">
        <f>IF(ISNUMBER(STDEV(AM8:AM18)),STDEV(AM8:AM18),"-")</f>
        <v>0</v>
      </c>
      <c r="AN21" s="538">
        <f>IF(ISNUMBER(STDEV(AN8:AN18)),STDEV(AN8:AN18),"-")</f>
        <v>0</v>
      </c>
      <c r="AO21" s="539">
        <f>IF(ISNUMBER(STDEV(AO8:AO18)),STDEV(AO8:AO18),"-")</f>
        <v>0.70057508898492504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10 dic. 2025</v>
      </c>
    </row>
    <row r="32" spans="1:78" ht="13.5" thickBot="1">
      <c r="C32" s="535"/>
      <c r="D32" s="526"/>
      <c r="E32" s="526"/>
    </row>
    <row r="33" spans="12:12" ht="15" thickBot="1">
      <c r="L33" s="545"/>
    </row>
  </sheetData>
  <sheetProtection algorithmName="SHA-512" hashValue="wOew3mf8fRmYgOj8r2YRBocjx9HatYaLHtWqqHXEHkVznqIX77yMbz20nVsmzckeUWHRWmIeLTaMwKILOR5kdA==" saltValue="AakHfvxWX8vMNdhXQeVw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Vve+L37Oi6InnJNzzLtTag2rQNN75WilbDiG77EByC5sP1f9G7IgXAoIMkCYdpNPW709MQYgDPUpvjtj051fw==" saltValue="txslHIWJ2EvgqtUyHypd8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1YO2mFKMME8JFR/OjMgdx6qdTHdKUHabIhqVS5dd1z3sQNxHJXqHrEl1SIHoxjQgnvUWG1HPqmnefo5KMwUdA==" saltValue="CBFG1lpVu3QhOj0UWHKj4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TAFALLA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0.18266978922716628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0.12916704668044662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10 dic. 2025</v>
      </c>
    </row>
    <row r="32" spans="1:78">
      <c r="C32" s="773"/>
      <c r="D32" s="773"/>
    </row>
  </sheetData>
  <sheetProtection algorithmName="SHA-512" hashValue="r8N/iP3vcRpN1Z17dcbYSXwHHXxR+I3aQZTTlBSugsr0cTU0Ah8haOKSDLcQuHZLrH51At+Vh0y1jYvX/1xVqg==" saltValue="65fPkP94B12ccIel9kjDw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pDCR6kzRu3tHGZOUr36A8sxSGIEeGgP2Sl/HI50FI53qI0iCCBcc77MWrgplexN53vcWc7I8crb6a4nHyxcbw==" saltValue="mLndhqqhSbeoBSrTU3J1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NAVARRA</v>
      </c>
      <c r="C2" s="374"/>
      <c r="D2" s="374"/>
      <c r="E2" s="374"/>
      <c r="F2" s="374"/>
    </row>
    <row r="3" spans="1:69" ht="19.5">
      <c r="A3" s="389" t="s">
        <v>115</v>
      </c>
      <c r="B3" s="390" t="str">
        <f>Criterios!A10 &amp;"  "&amp;Criterios!B10</f>
        <v>Provincias  NAVARRA</v>
      </c>
      <c r="D3" s="374"/>
      <c r="E3" s="374"/>
      <c r="F3" s="374"/>
      <c r="BQ3" s="470"/>
    </row>
    <row r="4" spans="1:69" ht="13.5" thickBot="1">
      <c r="A4" s="374"/>
      <c r="B4" s="390" t="str">
        <f>Criterios!A11 &amp;"  "&amp;Criterios!B11</f>
        <v>Resumenes por Partidos Judiciales  TAFALLA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v>
      </c>
      <c r="D10" s="403">
        <f>IF(ISNUMBER(C10/Datos!BH10),C10/Datos!BH10," - ")</f>
        <v>9</v>
      </c>
      <c r="E10" s="402">
        <f>IF(ISNUMBER(Datos!J10),Datos!J10," - ")</f>
        <v>7</v>
      </c>
      <c r="F10" s="403">
        <f>IF(ISNUMBER(E10/B10),E10/B10," - ")</f>
        <v>7</v>
      </c>
      <c r="G10" s="402">
        <f>IF(ISNUMBER(Datos!K10),Datos!K10," - ")</f>
        <v>7</v>
      </c>
      <c r="H10" s="403">
        <f>IF(ISNUMBER(G10/B10),G10/B10," - ")</f>
        <v>7</v>
      </c>
      <c r="I10" s="402">
        <f>IF(ISNUMBER(Datos!L10),Datos!L10," - ")</f>
        <v>9</v>
      </c>
      <c r="J10" s="403">
        <f>IF(ISNUMBER(I10/B10),I10/B10," - ")</f>
        <v>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898</v>
      </c>
      <c r="D12" s="403">
        <f>IF(ISNUMBER(C12/Datos!BH12),C12/Datos!BH12," - ")</f>
        <v>449</v>
      </c>
      <c r="E12" s="402">
        <f>IF(ISNUMBER(IF(J_V="SI",Datos!J12,Datos!J12+Datos!Z12)),IF(J_V="SI",Datos!J12,Datos!J12+Datos!Z12)," - ")</f>
        <v>240</v>
      </c>
      <c r="F12" s="403">
        <f>IF(ISNUMBER(E12/B12),E12/B12," - ")</f>
        <v>120</v>
      </c>
      <c r="G12" s="402">
        <f>IF(ISNUMBER(IF(J_V="SI",Datos!K12,Datos!K12+Datos!AA12)),IF(J_V="SI",Datos!K12,Datos!K12+Datos!AA12)," - ")</f>
        <v>420</v>
      </c>
      <c r="H12" s="403">
        <f>IF(ISNUMBER(G12/B12),G12/B12," - ")</f>
        <v>210</v>
      </c>
      <c r="I12" s="402">
        <f>IF(ISNUMBER(IF(J_V="SI",Datos!L12,Datos!L12+Datos!AB12)),IF(J_V="SI",Datos!L12,Datos!L12+Datos!AB12)," - ")</f>
        <v>718</v>
      </c>
      <c r="J12" s="403">
        <f>IF(ISNUMBER(I12/B12),I12/B12," - ")</f>
        <v>359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907</v>
      </c>
      <c r="D13" s="849" t="str">
        <f>IF(ISNUMBER(C13/Datos!BI13),C13/Datos!BI13," - ")</f>
        <v xml:space="preserve"> - </v>
      </c>
      <c r="E13" s="848">
        <f>SUBTOTAL(9,E8:E12)</f>
        <v>247</v>
      </c>
      <c r="F13" s="849">
        <f>IF(ISNUMBER(E13/B13),E13/B13," - ")</f>
        <v>123.5</v>
      </c>
      <c r="G13" s="848">
        <f>SUBTOTAL(9,G8:G12)</f>
        <v>427</v>
      </c>
      <c r="H13" s="849">
        <f>IF(ISNUMBER(G13/B13),G13/B13," - ")</f>
        <v>213.5</v>
      </c>
      <c r="I13" s="848">
        <f>SUBTOTAL(9,I8:I12)</f>
        <v>727</v>
      </c>
      <c r="J13" s="849">
        <f>IF(ISNUMBER(I13/B13),I13/B13," - ")</f>
        <v>363.5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405</v>
      </c>
      <c r="D16" s="403">
        <f>IF(ISNUMBER(C16/Datos!BH16),C16/Datos!BH16," - ")</f>
        <v>202.5</v>
      </c>
      <c r="E16" s="402">
        <f>IF(ISNUMBER(IF(D_I="SI",Datos!J16,Datos!J16+Datos!AD16)),IF(D_I="SI",Datos!J16,Datos!J16+Datos!AD16)," - ")</f>
        <v>306</v>
      </c>
      <c r="F16" s="403">
        <f>IF(ISNUMBER(E16/B16),E16/B16," - ")</f>
        <v>153</v>
      </c>
      <c r="G16" s="402">
        <f>IF(ISNUMBER(IF(D_I="SI",Datos!K16,Datos!K16+Datos!AE16)),IF(D_I="SI",Datos!K16,Datos!K16+Datos!AE16)," - ")</f>
        <v>274</v>
      </c>
      <c r="H16" s="403">
        <f>IF(ISNUMBER(G16/B16),G16/B16," - ")</f>
        <v>137</v>
      </c>
      <c r="I16" s="402">
        <f>IF(ISNUMBER(IF(D_I="SI",Datos!L16,Datos!L16+Datos!AF16)),IF(D_I="SI",Datos!L16,Datos!L16+Datos!AF16)," - ")</f>
        <v>447</v>
      </c>
      <c r="J16" s="403">
        <f>IF(ISNUMBER(I16/B16),I16/B16," - ")</f>
        <v>223.5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22</v>
      </c>
      <c r="D17" s="403">
        <f>IF(ISNUMBER(C17/Datos!BH17),C17/Datos!BH17," - ")</f>
        <v>22</v>
      </c>
      <c r="E17" s="402">
        <f>IF(ISNUMBER(IF(D_I="SI",Datos!J17,Datos!J17+Datos!AD17)),IF(D_I="SI",Datos!J17,Datos!J17+Datos!AD17)," - ")</f>
        <v>43</v>
      </c>
      <c r="F17" s="403">
        <f>IF(ISNUMBER(E17/B17),E17/B17," - ")</f>
        <v>43</v>
      </c>
      <c r="G17" s="402">
        <f>IF(ISNUMBER(IF(D_I="SI",Datos!K17,Datos!K17+Datos!AE17)),IF(D_I="SI",Datos!K17,Datos!K17+Datos!AE17)," - ")</f>
        <v>36</v>
      </c>
      <c r="H17" s="403">
        <f>IF(ISNUMBER(G17/B17),G17/B17," - ")</f>
        <v>36</v>
      </c>
      <c r="I17" s="402">
        <f>IF(ISNUMBER(IF(D_I="SI",Datos!L17,Datos!L17+Datos!AF17)),IF(D_I="SI",Datos!L17,Datos!L17+Datos!AF17)," - ")</f>
        <v>29</v>
      </c>
      <c r="J17" s="403">
        <f>IF(ISNUMBER(I17/B17),I17/B17," - ")</f>
        <v>29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427</v>
      </c>
      <c r="D18" s="849" t="str">
        <f>IF(ISNUMBER(C18/Datos!BI18),C18/Datos!BI18," - ")</f>
        <v xml:space="preserve"> - </v>
      </c>
      <c r="E18" s="848">
        <f>SUBTOTAL(9,E14:E17)</f>
        <v>349</v>
      </c>
      <c r="F18" s="849">
        <f>IF(ISNUMBER(E18/B18),E18/B18," - ")</f>
        <v>174.5</v>
      </c>
      <c r="G18" s="848">
        <f>SUBTOTAL(9,G14:G17)</f>
        <v>310</v>
      </c>
      <c r="H18" s="849">
        <f>IF(ISNUMBER(G18/B18),G18/B18," - ")</f>
        <v>155</v>
      </c>
      <c r="I18" s="848">
        <f>SUBTOTAL(9,I14:I17)</f>
        <v>476</v>
      </c>
      <c r="J18" s="849">
        <f>IF(ISNUMBER(I18/B18),I18/B18," - ")</f>
        <v>238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1334</v>
      </c>
      <c r="D19" s="794" t="str">
        <f>IF(ISNUMBER(C19/Datos!BI19),C19/Datos!BI19," - ")</f>
        <v xml:space="preserve"> - </v>
      </c>
      <c r="E19" s="793">
        <f>SUBTOTAL(9,E9:E18)</f>
        <v>596</v>
      </c>
      <c r="F19" s="794">
        <f>IF(ISNUMBER(E19/B19),E19/B19," - ")</f>
        <v>298</v>
      </c>
      <c r="G19" s="793">
        <f>SUBTOTAL(9,G9:G18)</f>
        <v>737</v>
      </c>
      <c r="H19" s="794">
        <f>IF(ISNUMBER(G19/B19),G19/B19," - ")</f>
        <v>368.5</v>
      </c>
      <c r="I19" s="793">
        <f>SUBTOTAL(9,I9:I18)</f>
        <v>1203</v>
      </c>
      <c r="J19" s="794">
        <f>IF(ISNUMBER(I19/B19),I19/B19," - ")</f>
        <v>601.5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10 dic. 2025</v>
      </c>
    </row>
    <row r="27" spans="1:69">
      <c r="A27" s="413"/>
    </row>
  </sheetData>
  <sheetProtection algorithmName="SHA-512" hashValue="in5LbqKLEQsIlYD6YZItdWn9E0RlOtpvSTse2AC6ijdreo3hW+ilF8I+0d0HLw8pD/JOh8UHqUrGV9/G+Xy6Sg==" saltValue="69hpxJADQKI/pxTNOueCI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NAVARRA</v>
      </c>
      <c r="W1"/>
      <c r="X1"/>
    </row>
    <row r="2" spans="1:78" ht="16.5" customHeight="1">
      <c r="C2" s="487" t="str">
        <f>Criterios!A10 &amp;"  "&amp;Criterios!B10 &amp; "  " &amp; IF(NOT(ISBLANK(Criterios!A11)),Criterios!A11 &amp;"  "&amp;Criterios!B11,"")</f>
        <v>Provincias  NAVARRA  Resumenes por Partidos Judiciales  TAFALLA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v>
      </c>
      <c r="G10" s="683">
        <f>IF(ISNUMBER(Datos!I10),Datos!I10," - ")</f>
        <v>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2.5714285714285716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137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1377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77</v>
      </c>
      <c r="AM12" s="689">
        <f>IF(ISNUMBER(Datos!N12+DatosP!N16),Datos!N12+DatosP!N16," - ")</f>
        <v>198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3.4190476190476189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-4.5076282940360611E-2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9</v>
      </c>
      <c r="G13" s="937">
        <f t="shared" si="0"/>
        <v>9</v>
      </c>
      <c r="H13" s="937">
        <f t="shared" si="0"/>
        <v>0</v>
      </c>
      <c r="I13" s="939">
        <f t="shared" si="0"/>
        <v>0</v>
      </c>
      <c r="J13" s="938">
        <f t="shared" si="0"/>
        <v>0</v>
      </c>
      <c r="K13" s="938">
        <f t="shared" si="0"/>
        <v>0</v>
      </c>
      <c r="L13" s="940">
        <f t="shared" si="0"/>
        <v>0</v>
      </c>
      <c r="M13" s="940">
        <f t="shared" si="0"/>
        <v>0</v>
      </c>
      <c r="N13" s="938">
        <f t="shared" si="0"/>
        <v>138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202</v>
      </c>
      <c r="AE13" s="938">
        <f t="shared" si="1"/>
        <v>0</v>
      </c>
      <c r="AF13" s="938">
        <f t="shared" si="1"/>
        <v>9</v>
      </c>
      <c r="AG13" s="938">
        <f t="shared" si="1"/>
        <v>0</v>
      </c>
      <c r="AH13" s="938">
        <f t="shared" si="1"/>
        <v>1377</v>
      </c>
      <c r="AI13" s="938">
        <f t="shared" si="1"/>
        <v>0</v>
      </c>
      <c r="AJ13" s="938">
        <f t="shared" si="1"/>
        <v>0</v>
      </c>
      <c r="AK13" s="938">
        <f t="shared" si="1"/>
        <v>0</v>
      </c>
      <c r="AL13" s="938">
        <f t="shared" si="1"/>
        <v>78</v>
      </c>
      <c r="AM13" s="938">
        <f t="shared" si="1"/>
        <v>198</v>
      </c>
      <c r="AN13" s="938">
        <f t="shared" si="1"/>
        <v>0</v>
      </c>
      <c r="AO13" s="938">
        <f t="shared" si="1"/>
        <v>0</v>
      </c>
      <c r="AP13" s="943">
        <f>IF(ISNUMBER(((Datos!L13/Datos!K13)*11)/factor_trimestre),((Datos!L13/Datos!K13)*11)/factor_trimestre," - ")</f>
        <v>3.547557840616967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-0.77777777777777779</v>
      </c>
      <c r="AU13" s="938" t="str">
        <f>IF(ISNUMBER((DatosP!#REF!-DatosP!#REF!+DatosP!#REF!)/(DatosP!#REF!+DatosP!#REF!-DatosP!#REF!-DatosP!#REF!)),(DatosP!#REF!-DatosP!#REF!+DatosP!#REF!)/(DatosP!#REF!+DatosP!#REF!-DatosP!#REF!-DatosP!#REF!)," - ")</f>
        <v xml:space="preserve"> - </v>
      </c>
      <c r="AV13" s="944">
        <f>SUBTOTAL(9,AV9:AV12)</f>
        <v>-4.5076282940360611E-2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3.0709677419354837</v>
      </c>
      <c r="AQ18" s="943">
        <f>IF(ISNUMBER(((Datos!M18/Datos!L18)*11)/factor_trimestre),((Datos!M18/Datos!L18)*11)/factor_trimestre," - ")</f>
        <v>0.15966386554621848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-1.7241379310344827E-2</v>
      </c>
      <c r="AW18" s="945">
        <f>IF(ISNUMBER((Datos!Q18-Datos!R18)/(Datos!S18-Datos!Q18+Datos!R18)),(Datos!Q18-Datos!R18)/(Datos!S18-Datos!Q18+Datos!R18)," - ")</f>
        <v>-0.19223659889094269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9</v>
      </c>
      <c r="G19" s="950">
        <f t="shared" si="4"/>
        <v>9</v>
      </c>
      <c r="H19" s="950">
        <f t="shared" si="4"/>
        <v>0</v>
      </c>
      <c r="I19" s="951">
        <f t="shared" si="4"/>
        <v>0</v>
      </c>
      <c r="J19" s="952">
        <f t="shared" si="4"/>
        <v>0</v>
      </c>
      <c r="K19" s="952">
        <f t="shared" si="4"/>
        <v>0</v>
      </c>
      <c r="L19" s="952">
        <f t="shared" si="4"/>
        <v>0</v>
      </c>
      <c r="M19" s="952">
        <f t="shared" si="4"/>
        <v>0</v>
      </c>
      <c r="N19" s="951">
        <f t="shared" si="4"/>
        <v>138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202</v>
      </c>
      <c r="AE19" s="956">
        <f t="shared" si="5"/>
        <v>0</v>
      </c>
      <c r="AF19" s="957">
        <f t="shared" si="5"/>
        <v>9</v>
      </c>
      <c r="AG19" s="957">
        <f t="shared" si="5"/>
        <v>0</v>
      </c>
      <c r="AH19" s="957">
        <f t="shared" si="5"/>
        <v>1377</v>
      </c>
      <c r="AI19" s="957">
        <f t="shared" si="5"/>
        <v>0</v>
      </c>
      <c r="AJ19" s="958">
        <f t="shared" si="5"/>
        <v>0</v>
      </c>
      <c r="AK19" s="958">
        <f t="shared" si="5"/>
        <v>0</v>
      </c>
      <c r="AL19" s="950">
        <f t="shared" si="5"/>
        <v>78</v>
      </c>
      <c r="AM19" s="950">
        <f t="shared" si="5"/>
        <v>198</v>
      </c>
      <c r="AN19" s="950">
        <f t="shared" si="5"/>
        <v>0</v>
      </c>
      <c r="AO19" s="950">
        <f t="shared" si="5"/>
        <v>0</v>
      </c>
      <c r="AP19" s="950">
        <f>IF(ISNUMBER(((Datos!L19/Datos!K19)*11)/factor_trimestre),((Datos!L19/Datos!K19)*11)/factor_trimestre," - ")</f>
        <v>3.3361945636623749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-0.77777777777777779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-4.1825095057034217E-2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5.196152422706632</v>
      </c>
      <c r="G21" s="736">
        <f>IF(ISNUMBER(STDEV(G8:G18)),STDEV(G8:G18),"-")</f>
        <v>5.196152422706632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44.459719597256424</v>
      </c>
      <c r="AM21" s="735"/>
      <c r="AN21" s="735">
        <f>IF(ISNUMBER(STDEV(AN8:AN18)),STDEV(AN8:AN18),"-")</f>
        <v>0</v>
      </c>
      <c r="AO21" s="741">
        <f>IF(ISNUMBER(STDEV(AO8:AO18)),STDEV(AO8:AO18),"-")</f>
        <v>0</v>
      </c>
      <c r="AP21" s="778">
        <f>IF(ISNUMBER(STDEV(AP8:AP18)),STDEV(AP8:AP18),"-")</f>
        <v>0.43642853395325792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10 dic. 2025</v>
      </c>
      <c r="W30"/>
      <c r="X30"/>
    </row>
    <row r="32" spans="1:78">
      <c r="C32" s="773"/>
      <c r="D32" s="773"/>
      <c r="W32"/>
      <c r="X32"/>
    </row>
  </sheetData>
  <sheetProtection algorithmName="SHA-512" hashValue="yD0v/wzcHzR9II0fN+6IE9zK2qC3MScLDN7IV+YjhT+P4of3NftO0o5mjF2/zmhoC5sRLBzeknnI1/7r6xUyrA==" saltValue="h46J6U+hMlylIa96w1p6E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NAVARRA</v>
      </c>
      <c r="C2" s="374"/>
      <c r="E2" s="374"/>
      <c r="F2" s="374"/>
      <c r="G2" s="374"/>
      <c r="H2" s="374"/>
    </row>
    <row r="3" spans="1:15" ht="39">
      <c r="A3" s="414" t="s">
        <v>218</v>
      </c>
      <c r="B3" s="390" t="str">
        <f>Criterios!A10 &amp;"  "&amp;Criterios!B10</f>
        <v>Provincias  NAVARRA</v>
      </c>
      <c r="C3" s="414"/>
      <c r="F3" s="374"/>
      <c r="G3" s="374"/>
      <c r="H3" s="374"/>
    </row>
    <row r="4" spans="1:15" ht="13.5" thickBot="1">
      <c r="A4" s="374"/>
      <c r="B4" s="390" t="str">
        <f>Criterios!A11 &amp;"  "&amp;Criterios!B11</f>
        <v>Resumenes por Partidos Judiciales  TAFALLA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10 dic. 2025</v>
      </c>
      <c r="B23" s="390"/>
      <c r="C23" s="390"/>
    </row>
    <row r="27" spans="1:13">
      <c r="A27" s="413"/>
      <c r="B27" s="413"/>
      <c r="C27" s="413"/>
    </row>
  </sheetData>
  <sheetProtection algorithmName="SHA-512" hashValue="CprZ55MCCJ/Fv36UaARCXx4R7nSX3kwEAXdoAxj2JX9tsddCWGO91jJ2+AguOFEo+zcWVtUQOcZyWWo4f5U4cA==" saltValue="NjoqB9eqPMGV0J982f4N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NAVARRA</v>
      </c>
      <c r="C2" s="390"/>
    </row>
    <row r="3" spans="1:78" ht="19.5">
      <c r="A3" s="424" t="s">
        <v>11</v>
      </c>
      <c r="B3" s="390" t="str">
        <f>Criterios!A10 &amp;"  "&amp;Criterios!B10</f>
        <v>Provincias  NAVARRA</v>
      </c>
      <c r="C3" s="390"/>
      <c r="D3" s="424"/>
      <c r="BZ3" s="470"/>
    </row>
    <row r="4" spans="1:78" ht="13.5" thickBot="1">
      <c r="B4" s="390" t="str">
        <f>Criterios!A11 &amp;"  "&amp;Criterios!B11</f>
        <v>Resumenes por Partidos Judiciales  TAFALLA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77</v>
      </c>
      <c r="E12" s="403">
        <f t="shared" si="0"/>
        <v>38.5</v>
      </c>
      <c r="F12" s="402">
        <f>IF(ISNUMBER(Datos!N12),Datos!N12," - ")</f>
        <v>198</v>
      </c>
      <c r="G12" s="403">
        <f t="shared" si="1"/>
        <v>99</v>
      </c>
      <c r="H12" s="402">
        <f>IF(ISNUMBER(Datos!O12),Datos!O12," - ")</f>
        <v>163</v>
      </c>
      <c r="I12" s="403">
        <f t="shared" si="2"/>
        <v>81.5</v>
      </c>
      <c r="BZ12" s="1185">
        <f>Datos!EZ12</f>
        <v>0</v>
      </c>
    </row>
    <row r="13" spans="1:78" ht="14.25" thickTop="1" thickBot="1">
      <c r="A13" s="847" t="str">
        <f>Datos!A13</f>
        <v>TOTAL</v>
      </c>
      <c r="B13" s="848">
        <f>Datos!AP13</f>
        <v>2</v>
      </c>
      <c r="C13" s="850">
        <f>Datos!AR13</f>
        <v>2</v>
      </c>
      <c r="D13" s="848">
        <f>SUBTOTAL(9,D9:D12)</f>
        <v>78</v>
      </c>
      <c r="E13" s="849">
        <f t="shared" si="0"/>
        <v>39</v>
      </c>
      <c r="F13" s="848">
        <f>SUBTOTAL(9,F9:F12)</f>
        <v>198</v>
      </c>
      <c r="G13" s="849">
        <f t="shared" si="1"/>
        <v>99</v>
      </c>
      <c r="H13" s="848">
        <f>SUBTOTAL(9,H9:H12)</f>
        <v>163</v>
      </c>
      <c r="I13" s="849">
        <f>IF(ISNUMBER(H13/B13),H13/B13," - ")</f>
        <v>81.5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30</v>
      </c>
      <c r="E16" s="403">
        <f t="shared" si="3"/>
        <v>15</v>
      </c>
      <c r="F16" s="402">
        <f>IF(ISNUMBER(Datos!N16),Datos!N16," - ")</f>
        <v>173</v>
      </c>
      <c r="G16" s="403">
        <f t="shared" si="4"/>
        <v>86.5</v>
      </c>
      <c r="H16" s="402">
        <f>IF(ISNUMBER(Datos!O16),Datos!O16," - ")</f>
        <v>1</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20</v>
      </c>
      <c r="G17" s="403">
        <f>IF(ISNUMBER(F17/B17),F17/B17," - ")</f>
        <v>20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38</v>
      </c>
      <c r="E18" s="849">
        <f t="shared" si="3"/>
        <v>19</v>
      </c>
      <c r="F18" s="848">
        <f>SUBTOTAL(9,F15:F17)</f>
        <v>193</v>
      </c>
      <c r="G18" s="849">
        <f t="shared" si="4"/>
        <v>96.5</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116</v>
      </c>
      <c r="E19" s="794">
        <f>IF(ISNUMBER(D19/B19),D19/B19," - ")</f>
        <v>58</v>
      </c>
      <c r="F19" s="793">
        <f>SUBTOTAL(9,F8:F18)</f>
        <v>391</v>
      </c>
      <c r="G19" s="794">
        <f>IF(ISNUMBER(F19/B19),F19/B19," - ")</f>
        <v>195.5</v>
      </c>
      <c r="H19" s="793">
        <f>SUBTOTAL(9,H8:H18)</f>
        <v>164</v>
      </c>
      <c r="I19" s="794">
        <f>IF(ISNUMBER(H19/B19),H19/B19," - ")</f>
        <v>82</v>
      </c>
    </row>
    <row r="22" spans="1:78">
      <c r="A22" s="390" t="str">
        <f>Criterios!A4</f>
        <v>Fecha Informe: 10 dic. 2025</v>
      </c>
    </row>
    <row r="27" spans="1:78">
      <c r="A27" s="413"/>
    </row>
  </sheetData>
  <sheetProtection algorithmName="SHA-512" hashValue="IRv8xQ4+6VRWJD2CvtTKgtyxP5vuotKatT+gdRtynkJtll1FtgsyqWqytDojrXdEQoVdK/Ul054RUAyt3RjJvw==" saltValue="R3RI6LfCycKIOnoHuNdt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NAVARRA</v>
      </c>
    </row>
    <row r="3" spans="1:4" ht="19.5">
      <c r="A3" s="428" t="s">
        <v>32</v>
      </c>
      <c r="B3" s="390" t="str">
        <f>Criterios!A10 &amp;"  "&amp;Criterios!B10</f>
        <v>Provincias  NAVARRA</v>
      </c>
    </row>
    <row r="4" spans="1:4" ht="13.5" thickBot="1">
      <c r="B4" s="390" t="str">
        <f>Criterios!A11 &amp;"  "&amp;Criterios!B11</f>
        <v>Resumenes por Partidos Judiciales  TAFALLA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21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137</v>
      </c>
      <c r="C12" s="433">
        <f>IF(ISNUMBER(Datos!Q12),Datos!Q12," - ")</f>
        <v>202</v>
      </c>
      <c r="D12" s="407">
        <f>IF(ISNUMBER(Datos!R12),Datos!R12," - ")</f>
        <v>1377</v>
      </c>
    </row>
    <row r="13" spans="1:4" ht="14.25" thickTop="1" thickBot="1">
      <c r="A13" s="847" t="str">
        <f>Datos!A13</f>
        <v>TOTAL</v>
      </c>
      <c r="B13" s="848">
        <f>SUBTOTAL(9,B9:B12)</f>
        <v>138</v>
      </c>
      <c r="C13" s="852">
        <f>SUBTOTAL(9,C9:C12)</f>
        <v>202</v>
      </c>
      <c r="D13" s="850">
        <f>SUBTOTAL(9,D9:D12)</f>
        <v>1398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v>
      </c>
      <c r="C16" s="433">
        <f>IF(ISNUMBER(Datos!Q16),Datos!Q16," - ")</f>
        <v>10</v>
      </c>
      <c r="D16" s="407">
        <f>IF(ISNUMBER(Datos!R16),Datos!R16," - ")</f>
        <v>113</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8</v>
      </c>
      <c r="C18" s="852">
        <f>SUBTOTAL(9,C15:C17)</f>
        <v>10</v>
      </c>
      <c r="D18" s="850">
        <f>SUBTOTAL(9,D15:D17)</f>
        <v>114</v>
      </c>
    </row>
    <row r="19" spans="1:4" ht="16.5" customHeight="1" thickTop="1" thickBot="1">
      <c r="A19" s="792" t="str">
        <f>Datos!A19</f>
        <v>TOTAL JURISDICCIONES</v>
      </c>
      <c r="B19" s="797">
        <f>SUBTOTAL(9,B8:B18)</f>
        <v>146</v>
      </c>
      <c r="C19" s="798">
        <f>SUBTOTAL(9,C8:C18)</f>
        <v>212</v>
      </c>
      <c r="D19" s="799">
        <f>SUBTOTAL(9,D8:D18)</f>
        <v>1512</v>
      </c>
    </row>
    <row r="20" spans="1:4" ht="7.5" customHeight="1"/>
    <row r="21" spans="1:4" ht="6" customHeight="1"/>
    <row r="22" spans="1:4">
      <c r="A22" s="390" t="str">
        <f>Criterios!A4</f>
        <v>Fecha Informe: 10 dic. 2025</v>
      </c>
    </row>
    <row r="27" spans="1:4">
      <c r="A27" s="413"/>
    </row>
  </sheetData>
  <sheetProtection algorithmName="SHA-512" hashValue="diNP2fdzGMdRStqAxnXUiZV3pVLQCXsv2VffnNVk44tYLnihISENBuRpnAsHsAvKGaANY/USENYq1F/B6T8caQ==" saltValue="scuu0sEZvguAXfB0trp2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NAVARRA</v>
      </c>
    </row>
    <row r="3" spans="1:11" ht="18.75" customHeight="1">
      <c r="A3" s="428" t="s">
        <v>118</v>
      </c>
      <c r="B3" s="390" t="str">
        <f>Criterios!A10 &amp;"  "&amp;Criterios!B10</f>
        <v>Provincias  NAVARRA</v>
      </c>
    </row>
    <row r="4" spans="1:11" ht="10.5" customHeight="1" thickBot="1">
      <c r="B4" s="390" t="str">
        <f>Criterios!A11 &amp;"  "&amp;Criterios!B11</f>
        <v>Resumenes por Partidos Judiciales  TAFALLA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-0.18181818181818182</v>
      </c>
      <c r="C10" s="455">
        <f>IF(ISNUMBER((Datos!J10-Datos!T10)/Datos!T10),(Datos!J10-Datos!T10)/Datos!T10," - ")</f>
        <v>-0.125</v>
      </c>
      <c r="D10" s="455">
        <f>IF(ISNUMBER((Datos!K10-Datos!U10)/Datos!U10),(Datos!K10-Datos!U10)/Datos!U10," - ")</f>
        <v>1.3333333333333333</v>
      </c>
      <c r="E10" s="455">
        <f>IF(ISNUMBER((Datos!L10-Datos!V10)/Datos!V10),(Datos!L10-Datos!V10)/Datos!V10," - ")</f>
        <v>-0.4375</v>
      </c>
      <c r="F10" s="455">
        <f>IF(ISNUMBER((Datos!M10-Datos!W10)/Datos!W10),(Datos!M10-Datos!W10)/Datos!W10," - ")</f>
        <v>0</v>
      </c>
      <c r="G10" s="456">
        <f>IF(ISNUMBER((Datos!N10-Datos!X10)/Datos!X10),(Datos!N10-Datos!X10)/Datos!X10," - ")</f>
        <v>-1</v>
      </c>
      <c r="H10" s="454">
        <f>IF(ISNUMBER(((NºAsuntos!G10/NºAsuntos!E10)-Datos!BD10)/Datos!BD10),((NºAsuntos!G10/NºAsuntos!E10)-Datos!BD10)/Datos!BD10," - ")</f>
        <v>1.6666666666666667</v>
      </c>
      <c r="I10" s="455">
        <f>IF(ISNUMBER(((NºAsuntos!I10/NºAsuntos!G10)-Datos!BE10)/Datos!BE10),((NºAsuntos!I10/NºAsuntos!G10)-Datos!BE10)/Datos!BE10," - ")</f>
        <v>-0.7589285714285714</v>
      </c>
      <c r="J10" s="460">
        <f>IF(ISNUMBER((('Resol  Asuntos'!D10/NºAsuntos!G10)-Datos!BF10)/Datos!BF10),(('Resol  Asuntos'!D10/NºAsuntos!G10)-Datos!BF10)/Datos!BF10," - ")</f>
        <v>-0.5714285714285714</v>
      </c>
      <c r="K10" s="461">
        <f>IF(ISNUMBER((((NºAsuntos!C10+NºAsuntos!E10)/NºAsuntos!G10)-Datos!BG10)/Datos!BG10),(((NºAsuntos!C10+NºAsuntos!E10)/NºAsuntos!G10)-Datos!BG10)/Datos!BG10," - ")</f>
        <v>-0.63909774436090228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0.17385620915032679</v>
      </c>
      <c r="C12" s="455">
        <f>IF(ISNUMBER(
   IF(J_V="SI",(Datos!J12-Datos!T12)/Datos!T12,(Datos!J12+Datos!Z12-(Datos!T12+Datos!AH12))/(Datos!T12+Datos!AH12))
     ),IF(J_V="SI",(Datos!J12-Datos!T12)/Datos!T12,(Datos!J12+Datos!Z12-(Datos!T12+Datos!AH12))/(Datos!T12+Datos!AH12))," - ")</f>
        <v>-0.42168674698795183</v>
      </c>
      <c r="D12" s="455">
        <f>IF(ISNUMBER(
   IF(J_V="SI",(Datos!K12-Datos!U12)/Datos!U12,(Datos!K12+Datos!AA12-(Datos!U12+Datos!AI12))/(Datos!U12+Datos!AI12))
     ),IF(J_V="SI",(Datos!K12-Datos!U12)/Datos!U12,(Datos!K12+Datos!AA12-(Datos!U12+Datos!AI12))/(Datos!U12+Datos!AI12))," - ")</f>
        <v>2.4390243902439025E-2</v>
      </c>
      <c r="E12" s="455">
        <f>IF(ISNUMBER(
   IF(J_V="SI",(Datos!L12-Datos!V12)/Datos!V12,(Datos!L12+Datos!AB12-(Datos!V12+Datos!AJ12))/(Datos!V12+Datos!AJ12))
     ),IF(J_V="SI",(Datos!L12-Datos!V12)/Datos!V12,(Datos!L12+Datos!AB12-(Datos!V12+Datos!AJ12))/(Datos!V12+Datos!AJ12))," - ")</f>
        <v>-6.7532467532467527E-2</v>
      </c>
      <c r="F12" s="455">
        <f>IF(ISNUMBER((Datos!M12-Datos!W12)/Datos!W12),(Datos!M12-Datos!W12)/Datos!W12," - ")</f>
        <v>-0.39370078740157483</v>
      </c>
      <c r="G12" s="456">
        <f>IF(ISNUMBER((Datos!N12-Datos!X12)/Datos!X12),(Datos!N12-Datos!X12)/Datos!X12," - ")</f>
        <v>0.83333333333333337</v>
      </c>
      <c r="H12" s="454">
        <f>IF(ISNUMBER(((NºAsuntos!G12/NºAsuntos!E12)-Datos!BD12)/Datos!BD12),((NºAsuntos!G12/NºAsuntos!E12)-Datos!BD12)/Datos!BD12," - ")</f>
        <v>0.77134146341463417</v>
      </c>
      <c r="I12" s="455">
        <f>IF(ISNUMBER(((NºAsuntos!I12/NºAsuntos!G12)-Datos!BE12)/Datos!BE12),((NºAsuntos!I12/NºAsuntos!G12)-Datos!BE12)/Datos!BE12," - ")</f>
        <v>-8.973407544836115E-2</v>
      </c>
      <c r="J12" s="460">
        <f>IF(ISNUMBER((('Resol  Asuntos'!D12/NºAsuntos!G12)-Datos!BF12)/Datos!BF12),(('Resol  Asuntos'!D12/NºAsuntos!G12)-Datos!BF12)/Datos!BF12," - ")</f>
        <v>-0.30401234567901242</v>
      </c>
      <c r="K12" s="461">
        <f>IF(ISNUMBER((((NºAsuntos!C12+NºAsuntos!E12)/NºAsuntos!G12)-Datos!BG12)/Datos!BG12),(((NºAsuntos!C12+NºAsuntos!E12)/NºAsuntos!G12)-Datos!BG12)/Datos!BG12," - ")</f>
        <v>-5.8555286521388132E-2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0.16881443298969073</v>
      </c>
      <c r="C13" s="854">
        <f>IF(ISNUMBER(
   IF(J_V="SI",(Datos!J13-Datos!T13)/Datos!T13,(Datos!J13+Datos!Z13-(Datos!T13+Datos!AH13))/(Datos!T13+Datos!AH13))
     ),IF(J_V="SI",(Datos!J13-Datos!T13)/Datos!T13,(Datos!J13+Datos!Z13-(Datos!T13+Datos!AH13))/(Datos!T13+Datos!AH13))," - ")</f>
        <v>-0.4160756501182033</v>
      </c>
      <c r="D13" s="854">
        <f>IF(ISNUMBER(
   IF(J_V="SI",(Datos!K13-Datos!U13)/Datos!U13,(Datos!K13+Datos!AA13-(Datos!U13+Datos!AI13))/(Datos!U13+Datos!AI13))
     ),IF(J_V="SI",(Datos!K13-Datos!U13)/Datos!U13,(Datos!K13+Datos!AA13-(Datos!U13+Datos!AI13))/(Datos!U13+Datos!AI13))," - ")</f>
        <v>3.3898305084745763E-2</v>
      </c>
      <c r="E13" s="854">
        <f>IF(ISNUMBER(
   IF(J_V="SI",(Datos!L13-Datos!V13)/Datos!V13,(Datos!L13+Datos!AB13-(Datos!V13+Datos!AJ13))/(Datos!V13+Datos!AJ13))
     ),IF(J_V="SI",(Datos!L13-Datos!V13)/Datos!V13,(Datos!L13+Datos!AB13-(Datos!V13+Datos!AJ13))/(Datos!V13+Datos!AJ13))," - ")</f>
        <v>-7.5063613231552168E-2</v>
      </c>
      <c r="F13" s="855">
        <f>IF(ISNUMBER((Datos!M13-Datos!W13)/Datos!W13),(Datos!M13-Datos!W13)/Datos!W13," - ")</f>
        <v>-0.390625</v>
      </c>
      <c r="G13" s="856">
        <f>IF(ISNUMBER((Datos!N13-Datos!X13)/Datos!X13),(Datos!N13-Datos!X13)/Datos!X13," - ")</f>
        <v>0.8</v>
      </c>
      <c r="H13" s="856">
        <f>IF(ISNUMBER(((NºAsuntos!G13/NºAsuntos!E13)-Datos!BD13)/Datos!BD13),((NºAsuntos!G13/NºAsuntos!E13)-Datos!BD13)/Datos!BD13," - ")</f>
        <v>0.77060317024634606</v>
      </c>
      <c r="I13" s="856">
        <f>IF(ISNUMBER(((NºAsuntos!I13/NºAsuntos!G13)-Datos!BE13)/Datos!BE13),((NºAsuntos!I13/NºAsuntos!G13)-Datos!BE13)/Datos!BE13," - ")</f>
        <v>-0.10538939640428827</v>
      </c>
      <c r="J13" s="856">
        <f>IF(ISNUMBER((('Resol  Asuntos'!D13/NºAsuntos!G13)-Datos!BF13)/Datos!BF13),(('Resol  Asuntos'!D13/NºAsuntos!G13)-Datos!BF13)/Datos!BF13," - ")</f>
        <v>-0.30786584448789284</v>
      </c>
      <c r="K13" s="856">
        <f>IF(ISNUMBER((((NºAsuntos!C13+NºAsuntos!E13)/NºAsuntos!G13)-Datos!BG13)/Datos!BG13),(((NºAsuntos!C13+NºAsuntos!E13)/NºAsuntos!G13)-Datos!BG13)/Datos!BG13," - ")</f>
        <v>-6.908762766786529E-2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-2.1739130434782608E-2</v>
      </c>
      <c r="C16" s="455">
        <f>IF(ISNUMBER(
   IF(D_I="SI",(Datos!J16-Datos!T16)/Datos!T16,(Datos!J16+Datos!AD16-(Datos!T16+Datos!AL16))/(Datos!T16+Datos!AL16))
     ),IF(D_I="SI",(Datos!J16-Datos!T16)/Datos!T16,(Datos!J16+Datos!AD16-(Datos!T16+Datos!AL16))/(Datos!T16+Datos!AL16))," - ")</f>
        <v>-0.13314447592067988</v>
      </c>
      <c r="D16" s="455">
        <f>IF(ISNUMBER(
   IF(D_I="SI",(Datos!K16-Datos!U16)/Datos!U16,(Datos!K16+Datos!AE16-(Datos!U16+Datos!AM16))/(Datos!U16+Datos!AM16))
     ),IF(D_I="SI",(Datos!K16-Datos!U16)/Datos!U16,(Datos!K16+Datos!AE16-(Datos!U16+Datos!AM16))/(Datos!U16+Datos!AM16))," - ")</f>
        <v>-0.35831381733021078</v>
      </c>
      <c r="E16" s="455">
        <f>IF(ISNUMBER(
   IF(D_I="SI",(Datos!L16-Datos!V16)/Datos!V16,(Datos!L16+Datos!AF16-(Datos!V16+Datos!AN16))/(Datos!V16+Datos!AN16))
     ),IF(D_I="SI",(Datos!L16-Datos!V16)/Datos!V16,(Datos!L16+Datos!AF16-(Datos!V16+Datos!AN16))/(Datos!V16+Datos!AN16))," - ")</f>
        <v>0.30701754385964913</v>
      </c>
      <c r="F16" s="455">
        <f>IF(ISNUMBER((Datos!M16-Datos!W16)/Datos!W16),(Datos!M16-Datos!W16)/Datos!W16," - ")</f>
        <v>-0.5161290322580645</v>
      </c>
      <c r="G16" s="456">
        <f>IF(ISNUMBER((Datos!N16-Datos!X16)/Datos!X16),(Datos!N16-Datos!X16)/Datos!X16," - ")</f>
        <v>-0.2880658436213992</v>
      </c>
      <c r="H16" s="454">
        <f>IF(ISNUMBER(((NºAsuntos!G16/NºAsuntos!E16)-Datos!BD16)/Datos!BD16),((NºAsuntos!G16/NºAsuntos!E16)-Datos!BD16)/Datos!BD16," - ")</f>
        <v>-0.25975417489400127</v>
      </c>
      <c r="I16" s="455">
        <f>IF(ISNUMBER(((NºAsuntos!I16/NºAsuntos!G16)-Datos!BE16)/Datos!BE16),((NºAsuntos!I16/NºAsuntos!G16)-Datos!BE16)/Datos!BE16," - ")</f>
        <v>1.036848508131643</v>
      </c>
      <c r="J16" s="460">
        <f>IF(ISNUMBER((('Resol  Asuntos'!D16/NºAsuntos!G16)-Datos!BF16)/Datos!BF16),(('Resol  Asuntos'!D16/NºAsuntos!G16)-Datos!BF16)/Datos!BF16," - ")</f>
        <v>-0.24593830939486691</v>
      </c>
      <c r="K16" s="461">
        <f>IF(ISNUMBER((((NºAsuntos!C16+NºAsuntos!E16)/NºAsuntos!G16)-Datos!BG16)/Datos!BG16),(((NºAsuntos!C16+NºAsuntos!E16)/NºAsuntos!G16)-Datos!BG16)/Datos!BG16," - ")</f>
        <v>0.44461310061953402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-4.3478260869565216E-2</v>
      </c>
      <c r="C17" s="455">
        <f>IF(ISNUMBER(
   IF(D_I="SI",(Datos!J17-Datos!T17)/Datos!T17,(Datos!J17+Datos!AD17-(Datos!T17+Datos!AL17))/(Datos!T17+Datos!AL17))
     ),IF(D_I="SI",(Datos!J17-Datos!T17)/Datos!T17,(Datos!J17+Datos!AD17-(Datos!T17+Datos!AL17))/(Datos!T17+Datos!AL17))," - ")</f>
        <v>0.13157894736842105</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0.16</v>
      </c>
      <c r="F17" s="455">
        <f>IF(ISNUMBER((Datos!M17-Datos!W17)/Datos!W17),(Datos!M17-Datos!W17)/Datos!W17," - ")</f>
        <v>1</v>
      </c>
      <c r="G17" s="456">
        <f>IF(ISNUMBER((Datos!N17-Datos!X17)/Datos!X17),(Datos!N17-Datos!X17)/Datos!X17," - ")</f>
        <v>-0.44444444444444442</v>
      </c>
      <c r="H17" s="454">
        <f>IF(ISNUMBER(((NºAsuntos!G17/NºAsuntos!E17)-Datos!BD17)/Datos!BD17),((NºAsuntos!G17/NºAsuntos!E17)-Datos!BD17)/Datos!BD17," - ")</f>
        <v>-0.11627906976744176</v>
      </c>
      <c r="I17" s="455">
        <f>IF(ISNUMBER(((NºAsuntos!I17/NºAsuntos!G17)-Datos!BE17)/Datos!BE17),((NºAsuntos!I17/NºAsuntos!G17)-Datos!BE17)/Datos!BE17," - ")</f>
        <v>0.16000000000000009</v>
      </c>
      <c r="J17" s="460">
        <f>IF(ISNUMBER((('Resol  Asuntos'!D17/NºAsuntos!G17)-Datos!BF17)/Datos!BF17),(('Resol  Asuntos'!D17/NºAsuntos!G17)-Datos!BF17)/Datos!BF17," - ")</f>
        <v>1</v>
      </c>
      <c r="K17" s="461">
        <f>IF(ISNUMBER((((NºAsuntos!C17+NºAsuntos!E17)/NºAsuntos!G17)-Datos!BG17)/Datos!BG17),(((NºAsuntos!C17+NºAsuntos!E17)/NºAsuntos!G17)-Datos!BG17)/Datos!BG17," - ")</f>
        <v>6.557377049180331E-2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-2.2883295194508008E-2</v>
      </c>
      <c r="C18" s="854">
        <f>IF(ISNUMBER(
   IF(Criterios!B14="SI",(Datos!J18-Datos!T18)/Datos!T18,(Datos!J18+Datos!AD18-(Datos!T18+Datos!AL18))/(Datos!T18+Datos!AL18))
     ),IF(Criterios!B14="SI",(Datos!J18-Datos!T18)/Datos!T18,(Datos!J18+Datos!AD18-(Datos!T18+Datos!AL18))/(Datos!T18+Datos!AL18))," - ")</f>
        <v>-0.10741687979539642</v>
      </c>
      <c r="D18" s="854">
        <f>IF(ISNUMBER(
   IF(Criterios!B14="SI",(Datos!K18-Datos!U18)/Datos!U18,(Datos!K18+Datos!AE18-(Datos!U18+Datos!AM18))/(Datos!U18+Datos!AM18))
     ),IF(Criterios!B14="SI",(Datos!K18-Datos!U18)/Datos!U18,(Datos!K18+Datos!AE18-(Datos!U18+Datos!AM18))/(Datos!U18+Datos!AM18))," - ")</f>
        <v>-0.33045356371490281</v>
      </c>
      <c r="E18" s="854">
        <f>IF(ISNUMBER(
   IF(Criterios!B14="SI",(Datos!L18-Datos!V18)/Datos!V18,(Datos!L18+Datos!AF18-(Datos!V18+Datos!AN18))/(Datos!V18+Datos!AN18))
     ),IF(Criterios!B14="SI",(Datos!L18-Datos!V18)/Datos!V18,(Datos!L18+Datos!AF18-(Datos!V18+Datos!AN18))/(Datos!V18+Datos!AN18))," - ")</f>
        <v>0.29700272479564033</v>
      </c>
      <c r="F18" s="855">
        <f>IF(ISNUMBER((Datos!M18-Datos!W18)/Datos!W18),(Datos!M18-Datos!W18)/Datos!W18," - ")</f>
        <v>-0.42424242424242425</v>
      </c>
      <c r="G18" s="856">
        <f>IF(ISNUMBER((Datos!N18-Datos!X18)/Datos!X18),(Datos!N18-Datos!X18)/Datos!X18," - ")</f>
        <v>-0.30824372759856633</v>
      </c>
      <c r="H18" s="856">
        <f>IF(ISNUMBER(((NºAsuntos!G18/NºAsuntos!E18)-Datos!BD18)/Datos!BD18),((NºAsuntos!G18/NºAsuntos!E18)-Datos!BD18)/Datos!BD18," - ")</f>
        <v>-0.2498777748209943</v>
      </c>
      <c r="I18" s="856">
        <f>IF(ISNUMBER(((NºAsuntos!I18/NºAsuntos!G18)-Datos!BE18)/Datos!BE18),((NºAsuntos!I18/NºAsuntos!G18)-Datos!BE18)/Datos!BE18," - ")</f>
        <v>0.93713632767864985</v>
      </c>
      <c r="J18" s="856">
        <f>IF(ISNUMBER((('Resol  Asuntos'!D18/NºAsuntos!G18)-Datos!BF18)/Datos!BF18),(('Resol  Asuntos'!D18/NºAsuntos!G18)-Datos!BF18)/Datos!BF18," - ")</f>
        <v>-0.14007820136852403</v>
      </c>
      <c r="K18" s="856">
        <f>IF(ISNUMBER((((NºAsuntos!C18+NºAsuntos!E18)/NºAsuntos!G18)-Datos!BG18)/Datos!BG18),(((NºAsuntos!C18+NºAsuntos!E18)/NºAsuntos!G18)-Datos!BG18)/Datos!BG18," - ")</f>
        <v>0.39975066230325701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9.9752679307502062E-2</v>
      </c>
      <c r="C19" s="801">
        <f>IF(ISNUMBER(
   IF(J_V="SI",(Datos!J19-Datos!T19)/Datos!T19,(Datos!J19+Datos!Z19-(Datos!T19+Datos!AH19))/(Datos!T19+Datos!AH19))
     ),IF(J_V="SI",(Datos!J19-Datos!T19)/Datos!T19,(Datos!J19+Datos!Z19-(Datos!T19+Datos!AH19))/(Datos!T19+Datos!AH19))," - ")</f>
        <v>-0.26781326781326781</v>
      </c>
      <c r="D19" s="801">
        <f>IF(ISNUMBER(
   IF(J_V="SI",(Datos!K19-Datos!U19)/Datos!U19,(Datos!K19+Datos!AA19-(Datos!U19+Datos!AI19))/(Datos!U19+Datos!AI19))
     ),IF(J_V="SI",(Datos!K19-Datos!U19)/Datos!U19,(Datos!K19+Datos!AA19-(Datos!U19+Datos!AI19))/(Datos!U19+Datos!AI19))," - ")</f>
        <v>-0.158675799086758</v>
      </c>
      <c r="E19" s="801">
        <f>IF(ISNUMBER(
   IF(J_V="SI",(Datos!L19-Datos!V19)/Datos!V19,(Datos!L19+Datos!AB19-(Datos!V19+Datos!AJ19))/(Datos!V19+Datos!AJ19))
     ),IF(J_V="SI",(Datos!L19-Datos!V19)/Datos!V19,(Datos!L19+Datos!AB19-(Datos!V19+Datos!AJ19))/(Datos!V19+Datos!AJ19))," - ")</f>
        <v>4.3365134431916738E-2</v>
      </c>
      <c r="F19" s="802">
        <f>IF(ISNUMBER((Datos!M19-Datos!W19)/Datos!W19),(Datos!M19-Datos!W19)/Datos!W19," - ")</f>
        <v>-0.40206185567010311</v>
      </c>
      <c r="G19" s="803">
        <f>IF(ISNUMBER((Datos!N19-Datos!X19)/Datos!X19),(Datos!N19-Datos!X19)/Datos!X19," - ")</f>
        <v>5.1413881748071976E-3</v>
      </c>
      <c r="H19" s="804">
        <f>IF(ISNUMBER((Tasas!B19-Datos!BD19)/Datos!BD19),(Tasas!B19-Datos!BD19)/Datos!BD19," - ")</f>
        <v>0.14905687842848836</v>
      </c>
      <c r="I19" s="805">
        <f>IF(ISNUMBER((Tasas!C19-Datos!BE19)/Datos!BE19),(Tasas!C19-Datos!BE19)/Datos!BE19," - ")</f>
        <v>0.24014634703169482</v>
      </c>
      <c r="J19" s="806">
        <f>IF(ISNUMBER((Tasas!D19-Datos!BF19)/Datos!BF19),(Tasas!D19-Datos!BF19)/Datos!BF19," - ")</f>
        <v>-0.21212638108160495</v>
      </c>
      <c r="K19" s="806">
        <f>IF(ISNUMBER((Tasas!E19-Datos!BG19)/Datos!BG19),(Tasas!E19-Datos!BG19)/Datos!BG19," - ")</f>
        <v>0.13172309506867588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10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QePwGUokoqFAQb/v5kbGpMz+J7SXjC7/BwbcMPXSlAQsQ0wX8oYWc5QZwU9SuY3kTjOmyKnc1/5uc99yyzIsQ==" saltValue="qbwBi3EffQ6ZoV+Qh3KD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NAVARRA</v>
      </c>
    </row>
    <row r="3" spans="1:7" ht="19.5">
      <c r="A3" s="435" t="s">
        <v>12</v>
      </c>
      <c r="B3" s="390" t="str">
        <f>Criterios!A10 &amp;"  "&amp;Criterios!B10</f>
        <v>Provincias  NAVARRA</v>
      </c>
    </row>
    <row r="4" spans="1:7" ht="11.25" customHeight="1" thickBot="1">
      <c r="B4" s="390" t="str">
        <f>Criterios!A11 &amp;"  "&amp;Criterios!B11</f>
        <v>Resumenes por Partidos Judiciales  TAFALLA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1.2857142857142858</v>
      </c>
      <c r="D10" s="443">
        <f>IF(ISNUMBER('Resol  Asuntos'!D10/NºAsuntos!G10),'Resol  Asuntos'!D10/NºAsuntos!G10," - ")</f>
        <v>0.14285714285714285</v>
      </c>
      <c r="E10" s="444">
        <f>IF(ISNUMBER((NºAsuntos!C10+NºAsuntos!E10)/NºAsuntos!G10),(NºAsuntos!C10+NºAsuntos!E10)/NºAsuntos!G10," - ")</f>
        <v>2.2857142857142856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1.75</v>
      </c>
      <c r="C12" s="442">
        <f>IF(ISNUMBER(NºAsuntos!I12/NºAsuntos!G12),NºAsuntos!I12/NºAsuntos!G12," - ")</f>
        <v>1.7095238095238094</v>
      </c>
      <c r="D12" s="443">
        <f>IF(ISNUMBER('Resol  Asuntos'!D12/NºAsuntos!G12),'Resol  Asuntos'!D12/NºAsuntos!G12," - ")</f>
        <v>0.18333333333333332</v>
      </c>
      <c r="E12" s="444">
        <f>IF(ISNUMBER((NºAsuntos!C12+NºAsuntos!E12)/NºAsuntos!G12),(NºAsuntos!C12+NºAsuntos!E12)/NºAsuntos!G12," - ")</f>
        <v>2.7095238095238097</v>
      </c>
      <c r="G12" s="462"/>
    </row>
    <row r="13" spans="1:7" ht="14.25" thickTop="1" thickBot="1">
      <c r="A13" s="847" t="str">
        <f>Datos!A13</f>
        <v>TOTAL</v>
      </c>
      <c r="B13" s="857">
        <f>IF(ISNUMBER(NºAsuntos!G13/NºAsuntos!E13),NºAsuntos!G13/NºAsuntos!E13," - ")</f>
        <v>1.7287449392712551</v>
      </c>
      <c r="C13" s="858">
        <f>IF(ISNUMBER(NºAsuntos!I13/NºAsuntos!G13),NºAsuntos!I13/NºAsuntos!G13," - ")</f>
        <v>1.7025761124121779</v>
      </c>
      <c r="D13" s="859">
        <f>IF(ISNUMBER('Resol  Asuntos'!D13/NºAsuntos!G13),'Resol  Asuntos'!D13/NºAsuntos!G13," - ")</f>
        <v>0.18266978922716628</v>
      </c>
      <c r="E13" s="860">
        <f>IF(ISNUMBER((NºAsuntos!C13+NºAsuntos!E13)/NºAsuntos!G13),(NºAsuntos!C13+NºAsuntos!E13)/NºAsuntos!G13," - ")</f>
        <v>2.7025761124121779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0.89542483660130723</v>
      </c>
      <c r="C16" s="442">
        <f>IF(ISNUMBER(NºAsuntos!I16/NºAsuntos!G16),NºAsuntos!I16/NºAsuntos!G16," - ")</f>
        <v>1.6313868613138687</v>
      </c>
      <c r="D16" s="443">
        <f>IF(ISNUMBER('Resol  Asuntos'!D16/NºAsuntos!G16),'Resol  Asuntos'!D16/NºAsuntos!G16," - ")</f>
        <v>0.10948905109489052</v>
      </c>
      <c r="E16" s="444">
        <f>IF(ISNUMBER((NºAsuntos!C16+NºAsuntos!E16)/NºAsuntos!G16),(NºAsuntos!C16+NºAsuntos!E16)/NºAsuntos!G16," - ")</f>
        <v>2.5948905109489053</v>
      </c>
      <c r="G16" s="462"/>
    </row>
    <row r="17" spans="1:7" ht="21.75" thickBot="1">
      <c r="A17" s="401" t="str">
        <f>Datos!A17</f>
        <v>Jdos. Violencia contra la mujer/Secc Viol. TI.</v>
      </c>
      <c r="B17" s="441">
        <f>IF(ISNUMBER(NºAsuntos!G17/NºAsuntos!E17),NºAsuntos!G17/NºAsuntos!E17," - ")</f>
        <v>0.83720930232558144</v>
      </c>
      <c r="C17" s="442">
        <f>IF(ISNUMBER(NºAsuntos!I17/NºAsuntos!G17),NºAsuntos!I17/NºAsuntos!G17," - ")</f>
        <v>0.80555555555555558</v>
      </c>
      <c r="D17" s="443">
        <f>IF(ISNUMBER('Resol  Asuntos'!D17/NºAsuntos!G17),'Resol  Asuntos'!D17/NºAsuntos!G17," - ")</f>
        <v>0.22222222222222221</v>
      </c>
      <c r="E17" s="444">
        <f>IF(ISNUMBER((NºAsuntos!C17+NºAsuntos!E17)/NºAsuntos!G17),(NºAsuntos!C17+NºAsuntos!E17)/NºAsuntos!G17," - ")</f>
        <v>1.8055555555555556</v>
      </c>
      <c r="G17" s="462"/>
    </row>
    <row r="18" spans="1:7" ht="14.25" thickTop="1" thickBot="1">
      <c r="A18" s="847" t="str">
        <f>Datos!A18</f>
        <v>TOTAL</v>
      </c>
      <c r="B18" s="857">
        <f>IF(ISNUMBER(NºAsuntos!G18/NºAsuntos!E18),NºAsuntos!G18/NºAsuntos!E18," - ")</f>
        <v>0.88825214899713467</v>
      </c>
      <c r="C18" s="858">
        <f>IF(ISNUMBER(NºAsuntos!I18/NºAsuntos!G18),NºAsuntos!I18/NºAsuntos!G18," - ")</f>
        <v>1.5354838709677419</v>
      </c>
      <c r="D18" s="861">
        <f>IF(ISNUMBER('Resol  Asuntos'!D18/NºAsuntos!G18),'Resol  Asuntos'!D18/NºAsuntos!G18," - ")</f>
        <v>0.12258064516129032</v>
      </c>
      <c r="E18" s="860">
        <f>IF(ISNUMBER((NºAsuntos!C18+NºAsuntos!E18)/NºAsuntos!G18),(NºAsuntos!C18+NºAsuntos!E18)/NºAsuntos!G18," - ")</f>
        <v>2.5032258064516131</v>
      </c>
      <c r="G18" s="462"/>
    </row>
    <row r="19" spans="1:7" ht="15.75" customHeight="1" thickTop="1" thickBot="1">
      <c r="A19" s="792" t="str">
        <f>Datos!A19</f>
        <v>TOTAL JURISDICCIONES</v>
      </c>
      <c r="B19" s="807">
        <f>IF(ISNUMBER(NºAsuntos!G19/NºAsuntos!E19),NºAsuntos!G19/NºAsuntos!E19," - ")</f>
        <v>1.2365771812080537</v>
      </c>
      <c r="C19" s="808">
        <f>IF(ISNUMBER(NºAsuntos!I19/NºAsuntos!G19),NºAsuntos!I19/NºAsuntos!G19," - ")</f>
        <v>1.6322930800542741</v>
      </c>
      <c r="D19" s="809">
        <f>IF(ISNUMBER('Resol  Asuntos'!D19/NºAsuntos!G19),'Resol  Asuntos'!D19/NºAsuntos!G19," - ")</f>
        <v>0.15739484396200815</v>
      </c>
      <c r="E19" s="810">
        <f>IF(ISNUMBER((NºAsuntos!C19+NºAsuntos!E19)/NºAsuntos!G19),(NºAsuntos!C19+NºAsuntos!E19)/NºAsuntos!G19," - ")</f>
        <v>2.6187245590230663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10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Nf9wGh5fWiS+yuhYtkUdpK8txU+m/VEB+TYyFjLDvjUB4kAzC8PxQ76VI9OSlBlTLX2nVzgraaGA8NRO4Kz1A==" saltValue="9bvAKxDUcDuE25MwNwUa9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NAVARRA</v>
      </c>
      <c r="G2" s="262"/>
      <c r="H2" s="261"/>
      <c r="I2" s="261"/>
      <c r="J2" s="261"/>
      <c r="K2" s="261"/>
      <c r="L2" s="261" t="str">
        <f>Criterios!A10 &amp;"  "&amp;Criterios!B10</f>
        <v>Provincias  NAVARRA</v>
      </c>
      <c r="N2" s="261" t="str">
        <f>Criterios!A11 &amp;"  "&amp;Criterios!B11</f>
        <v>Resumenes por Partidos Judiciales  TAFALLA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9</v>
      </c>
      <c r="AB10" s="333">
        <f>IF(ISNUMBER(Datos!R10),Datos!R10," - ")</f>
        <v>21</v>
      </c>
      <c r="AC10" s="333">
        <f t="shared" ref="AC10:AC12" si="1">IF(ISNUMBER(AA10+AB10),AA10+AB10," - ")</f>
        <v>30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2.5714285714285716</v>
      </c>
      <c r="AN10" s="243">
        <f>IF(ISNUMBER('Resol  Asuntos'!D10/NºAsuntos!G10),'Resol  Asuntos'!D10/NºAsuntos!G10," - ")</f>
        <v>0.14285714285714285</v>
      </c>
      <c r="AO10" s="244">
        <f>IF(ISNUMBER((NºAsuntos!C10+NºAsuntos!E10)/NºAsuntos!G10),(NºAsuntos!C10+NºAsuntos!E10)/NºAsuntos!G10," - ")</f>
        <v>2.2857142857142856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202</v>
      </c>
      <c r="Y12" s="333">
        <f t="shared" si="0"/>
        <v>202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1377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77</v>
      </c>
      <c r="AJ12" s="228" t="str">
        <f>IF(ISNUMBER(Datos!BW12),Datos!BW12," - ")</f>
        <v xml:space="preserve"> - </v>
      </c>
      <c r="AK12" s="227" t="str">
        <f>IF(ISNUMBER(Datos!BX12),Datos!BX12," - ")</f>
        <v xml:space="preserve"> - </v>
      </c>
      <c r="AL12" s="242">
        <f>IF(ISNUMBER(NºAsuntos!G12/NºAsuntos!E12),NºAsuntos!G12/NºAsuntos!E12," - ")</f>
        <v>1.75</v>
      </c>
      <c r="AM12" s="259">
        <f>IF(ISNUMBER(((NºAsuntos!I12/NºAsuntos!G12)*11)/factor_trimestre),((NºAsuntos!I12/NºAsuntos!G12)*11)/factor_trimestre," - ")</f>
        <v>3.4190476190476189</v>
      </c>
      <c r="AN12" s="243">
        <f>IF(ISNUMBER('Resol  Asuntos'!D12/NºAsuntos!G12),'Resol  Asuntos'!D12/NºAsuntos!G12," - ")</f>
        <v>0.18333333333333332</v>
      </c>
      <c r="AO12" s="244">
        <f>IF(ISNUMBER((NºAsuntos!C12+NºAsuntos!E12)/NºAsuntos!G12),(NºAsuntos!C12+NºAsuntos!E12)/NºAsuntos!G12," - ")</f>
        <v>2.7095238095238097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9</v>
      </c>
      <c r="G13" s="865">
        <f t="shared" si="3"/>
        <v>9</v>
      </c>
      <c r="H13" s="864">
        <f t="shared" si="3"/>
        <v>0</v>
      </c>
      <c r="I13" s="866">
        <f t="shared" si="3"/>
        <v>0</v>
      </c>
      <c r="J13" s="866">
        <f t="shared" si="3"/>
        <v>0</v>
      </c>
      <c r="K13" s="866">
        <f t="shared" si="3"/>
        <v>0</v>
      </c>
      <c r="L13" s="866">
        <f t="shared" si="3"/>
        <v>138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202</v>
      </c>
      <c r="Y13" s="867">
        <f t="shared" si="4"/>
        <v>209</v>
      </c>
      <c r="Z13" s="867">
        <f t="shared" si="4"/>
        <v>0</v>
      </c>
      <c r="AA13" s="867">
        <f t="shared" si="4"/>
        <v>9</v>
      </c>
      <c r="AB13" s="867">
        <f t="shared" si="4"/>
        <v>1398</v>
      </c>
      <c r="AC13" s="867">
        <f t="shared" si="4"/>
        <v>30</v>
      </c>
      <c r="AD13" s="867">
        <f t="shared" si="4"/>
        <v>0</v>
      </c>
      <c r="AE13" s="871">
        <f t="shared" si="4"/>
        <v>0</v>
      </c>
      <c r="AF13" s="864">
        <f t="shared" si="4"/>
        <v>0</v>
      </c>
      <c r="AG13" s="872">
        <f t="shared" si="4"/>
        <v>0</v>
      </c>
      <c r="AH13" s="869">
        <f t="shared" si="4"/>
        <v>0</v>
      </c>
      <c r="AI13" s="864">
        <f t="shared" si="4"/>
        <v>78</v>
      </c>
      <c r="AJ13" s="866">
        <f t="shared" si="4"/>
        <v>0</v>
      </c>
      <c r="AK13" s="869">
        <f>SUBTOTAL(9,AK9:AK12)</f>
        <v>0</v>
      </c>
      <c r="AL13" s="873">
        <f>IF(ISNUMBER(NºAsuntos!G13/NºAsuntos!E13),NºAsuntos!G13/NºAsuntos!E13," - ")</f>
        <v>1.7287449392712551</v>
      </c>
      <c r="AM13" s="873">
        <f>IF(ISNUMBER(((NºAsuntos!I13/NºAsuntos!G13)*11)/factor_trimestre),((NºAsuntos!I13/NºAsuntos!G13)*11)/factor_trimestre," - ")</f>
        <v>3.4051522248243558</v>
      </c>
      <c r="AN13" s="874">
        <f>IF(ISNUMBER('Resol  Asuntos'!D13/NºAsuntos!G13),'Resol  Asuntos'!D13/NºAsuntos!G13," - ")</f>
        <v>0.18266978922716628</v>
      </c>
      <c r="AO13" s="875">
        <f>IF(ISNUMBER((NºAsuntos!C13+NºAsuntos!E13)/NºAsuntos!G13),(NºAsuntos!C13+NºAsuntos!E13)/NºAsuntos!G13," - ")</f>
        <v>2.7025761124121779</v>
      </c>
      <c r="AP13" s="876" t="str">
        <f t="shared" si="2"/>
        <v xml:space="preserve"> - </v>
      </c>
      <c r="AQ13" s="876">
        <f>IF(ISNUMBER((H13-W13+K13)/(F13)),(H13-W13+K13)/(F13)," - ")</f>
        <v>-0.77777777777777779</v>
      </c>
      <c r="AR13" s="877">
        <f>IF(ISNUMBER((Datos!P13-Datos!Q13)/(Datos!R13-Datos!P13+Datos!Q13)),(Datos!P13-Datos!Q13)/(Datos!R13-Datos!P13+Datos!Q13)," - ")</f>
        <v>-4.3775649794801641E-2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415</v>
      </c>
      <c r="G16" s="332">
        <f>IF(ISNUMBER(IF(D_I="SI",Datos!I16,Datos!I16+Datos!AC16)),IF(D_I="SI",Datos!I16,Datos!I16+Datos!AC16)," - ")</f>
        <v>405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274</v>
      </c>
      <c r="X16" s="225">
        <f>IF(ISNUMBER(Datos!Q16),Datos!Q16," - ")</f>
        <v>10</v>
      </c>
      <c r="Y16" s="333">
        <f t="shared" ref="Y16:Y17" si="7">SUM(W16:X16)</f>
        <v>284</v>
      </c>
      <c r="Z16" s="334" t="str">
        <f>IF(ISNUMBER(Datos!CC16),Datos!CC16," - ")</f>
        <v xml:space="preserve"> - </v>
      </c>
      <c r="AA16" s="331">
        <f>IF(ISNUMBER(IF(D_I="SI",Datos!L16,Datos!L16+Datos!AF16)),IF(D_I="SI",Datos!L16,Datos!L16+Datos!AF16)," - ")</f>
        <v>447</v>
      </c>
      <c r="AB16" s="333">
        <f>IF(ISNUMBER(Datos!R16),Datos!R16," - ")</f>
        <v>113</v>
      </c>
      <c r="AC16" s="333">
        <f t="shared" si="6"/>
        <v>560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30</v>
      </c>
      <c r="AJ16" s="230" t="str">
        <f>IF(ISNUMBER(Datos!BW16),Datos!BW16," - ")</f>
        <v xml:space="preserve"> - </v>
      </c>
      <c r="AK16" s="231" t="str">
        <f>IF(ISNUMBER(Datos!BX16),Datos!BX16," - ")</f>
        <v xml:space="preserve"> - </v>
      </c>
      <c r="AL16" s="242">
        <f>IF(ISNUMBER(NºAsuntos!G16/NºAsuntos!E16),NºAsuntos!G16/NºAsuntos!E16," - ")</f>
        <v>0.89542483660130723</v>
      </c>
      <c r="AM16" s="259">
        <f>IF(ISNUMBER(((NºAsuntos!I16/NºAsuntos!G16)*11)/factor_trimestre),((NºAsuntos!I16/NºAsuntos!G16)*11)/factor_trimestre," - ")</f>
        <v>3.2627737226277373</v>
      </c>
      <c r="AN16" s="243">
        <f>IF(ISNUMBER('Resol  Asuntos'!D16/NºAsuntos!G16),'Resol  Asuntos'!D16/NºAsuntos!G16," - ")</f>
        <v>0.10948905109489052</v>
      </c>
      <c r="AO16" s="244">
        <f>IF(ISNUMBER((NºAsuntos!C16+NºAsuntos!E16)/NºAsuntos!G16),(NºAsuntos!C16+NºAsuntos!E16)/NºAsuntos!G16," - ")</f>
        <v>2.5948905109489053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36</v>
      </c>
      <c r="X17" s="225">
        <f>IF(ISNUMBER(Datos!Q17),Datos!Q17," - ")</f>
        <v>0</v>
      </c>
      <c r="Y17" s="333">
        <f t="shared" si="7"/>
        <v>36</v>
      </c>
      <c r="Z17" s="334" t="str">
        <f>IF(ISNUMBER(Datos!CC17),Datos!CC17," - ")</f>
        <v xml:space="preserve"> - </v>
      </c>
      <c r="AA17" s="331">
        <f>IF(ISNUMBER(Datos!L17),Datos!L17,"-")</f>
        <v>29</v>
      </c>
      <c r="AB17" s="333">
        <f>IF(ISNUMBER(Datos!R17),Datos!R17," - ")</f>
        <v>1</v>
      </c>
      <c r="AC17" s="333">
        <f t="shared" si="6"/>
        <v>30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0.83720930232558144</v>
      </c>
      <c r="AM17" s="259">
        <f>IF(ISNUMBER(((NºAsuntos!I17/NºAsuntos!G17)*11)/factor_trimestre),((NºAsuntos!I17/NºAsuntos!G17)*11)/factor_trimestre," - ")</f>
        <v>1.6111111111111109</v>
      </c>
      <c r="AN17" s="243">
        <f>IF(ISNUMBER('Resol  Asuntos'!D17/NºAsuntos!G17),'Resol  Asuntos'!D17/NºAsuntos!G17," - ")</f>
        <v>0.22222222222222221</v>
      </c>
      <c r="AO17" s="244">
        <f>IF(ISNUMBER((NºAsuntos!C17+NºAsuntos!E17)/NºAsuntos!G17),(NºAsuntos!C17+NºAsuntos!E17)/NºAsuntos!G17," - ")</f>
        <v>1.8055555555555556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415</v>
      </c>
      <c r="G18" s="865">
        <f>SUBTOTAL(9,G15:G17)</f>
        <v>427</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310</v>
      </c>
      <c r="X18" s="866">
        <f t="shared" si="11"/>
        <v>10</v>
      </c>
      <c r="Y18" s="867">
        <f t="shared" si="11"/>
        <v>320</v>
      </c>
      <c r="Z18" s="867">
        <f t="shared" si="11"/>
        <v>0</v>
      </c>
      <c r="AA18" s="867">
        <f t="shared" si="11"/>
        <v>476</v>
      </c>
      <c r="AB18" s="867">
        <f t="shared" si="11"/>
        <v>114</v>
      </c>
      <c r="AC18" s="867">
        <f t="shared" si="11"/>
        <v>590</v>
      </c>
      <c r="AD18" s="867">
        <f t="shared" si="11"/>
        <v>0</v>
      </c>
      <c r="AE18" s="871">
        <f t="shared" si="11"/>
        <v>0</v>
      </c>
      <c r="AF18" s="864">
        <f t="shared" si="11"/>
        <v>0</v>
      </c>
      <c r="AG18" s="872">
        <f t="shared" si="11"/>
        <v>0</v>
      </c>
      <c r="AH18" s="869">
        <f t="shared" si="11"/>
        <v>0</v>
      </c>
      <c r="AI18" s="864">
        <f t="shared" si="11"/>
        <v>38</v>
      </c>
      <c r="AJ18" s="866">
        <f t="shared" si="11"/>
        <v>0</v>
      </c>
      <c r="AK18" s="869">
        <f t="shared" si="11"/>
        <v>0</v>
      </c>
      <c r="AL18" s="873">
        <f>IF(ISNUMBER(NºAsuntos!G18/NºAsuntos!E18),NºAsuntos!G18/NºAsuntos!E18," - ")</f>
        <v>0.88825214899713467</v>
      </c>
      <c r="AM18" s="873">
        <f>IF(ISNUMBER(((NºAsuntos!I18/NºAsuntos!G18)*11)/factor_trimestre),((NºAsuntos!I18/NºAsuntos!G18)*11)/factor_trimestre," - ")</f>
        <v>3.0709677419354837</v>
      </c>
      <c r="AN18" s="874">
        <f>IF(ISNUMBER('Resol  Asuntos'!D18/NºAsuntos!G18),'Resol  Asuntos'!D18/NºAsuntos!G18," - ")</f>
        <v>0.12258064516129032</v>
      </c>
      <c r="AO18" s="875">
        <f>IF(ISNUMBER((NºAsuntos!C18+NºAsuntos!E18)/NºAsuntos!G18),(NºAsuntos!C18+NºAsuntos!E18)/NºAsuntos!G18," - ")</f>
        <v>2.5032258064516131</v>
      </c>
      <c r="AP18" s="876" t="str">
        <f t="shared" si="2"/>
        <v xml:space="preserve"> - </v>
      </c>
      <c r="AQ18" s="876">
        <f>IF(ISNUMBER((H18-W18+K18)/(F18)),(H18-W18+K18)/(F18)," - ")</f>
        <v>-0.74698795180722888</v>
      </c>
      <c r="AR18" s="877">
        <f>IF(ISNUMBER((Datos!P18-Datos!Q18)/(Datos!R18-Datos!P18+Datos!Q18)),(Datos!P18-Datos!Q18)/(Datos!R18-Datos!P18+Datos!Q18)," - ")</f>
        <v>-1.7241379310344827E-2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424</v>
      </c>
      <c r="G19" s="820">
        <f t="shared" si="13"/>
        <v>436</v>
      </c>
      <c r="H19" s="819">
        <f t="shared" si="13"/>
        <v>0</v>
      </c>
      <c r="I19" s="821">
        <f t="shared" si="13"/>
        <v>0</v>
      </c>
      <c r="J19" s="821">
        <f t="shared" si="13"/>
        <v>0</v>
      </c>
      <c r="K19" s="880">
        <f t="shared" si="13"/>
        <v>0</v>
      </c>
      <c r="L19" s="821">
        <f t="shared" si="13"/>
        <v>146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317</v>
      </c>
      <c r="X19" s="820">
        <f t="shared" si="14"/>
        <v>212</v>
      </c>
      <c r="Y19" s="827">
        <f t="shared" si="14"/>
        <v>529</v>
      </c>
      <c r="Z19" s="827">
        <f t="shared" si="14"/>
        <v>0</v>
      </c>
      <c r="AA19" s="827">
        <f t="shared" si="14"/>
        <v>485</v>
      </c>
      <c r="AB19" s="827">
        <f t="shared" si="14"/>
        <v>1512</v>
      </c>
      <c r="AC19" s="827">
        <f t="shared" si="14"/>
        <v>620</v>
      </c>
      <c r="AD19" s="827">
        <f t="shared" si="14"/>
        <v>0</v>
      </c>
      <c r="AE19" s="829">
        <f t="shared" si="14"/>
        <v>0</v>
      </c>
      <c r="AF19" s="830">
        <f t="shared" si="14"/>
        <v>0</v>
      </c>
      <c r="AG19" s="831">
        <f t="shared" si="14"/>
        <v>0</v>
      </c>
      <c r="AH19" s="829">
        <f t="shared" si="14"/>
        <v>0</v>
      </c>
      <c r="AI19" s="819">
        <f t="shared" si="14"/>
        <v>116</v>
      </c>
      <c r="AJ19" s="819">
        <f t="shared" si="14"/>
        <v>0</v>
      </c>
      <c r="AK19" s="829">
        <f t="shared" si="14"/>
        <v>0</v>
      </c>
      <c r="AL19" s="883">
        <f>IF(ISNUMBER(NºAsuntos!G19/NºAsuntos!E19),NºAsuntos!G19/NºAsuntos!E19," - ")</f>
        <v>1.2365771812080537</v>
      </c>
      <c r="AM19" s="884">
        <f>IF(ISNUMBER(((NºAsuntos!I19/NºAsuntos!G19)*11)/factor_trimestre),((NºAsuntos!I19/NºAsuntos!G19)*11)/factor_trimestre," - ")</f>
        <v>3.2645861601085482</v>
      </c>
      <c r="AN19" s="884">
        <f>IF(ISNUMBER('Resol  Asuntos'!D19/NºAsuntos!G19),'Resol  Asuntos'!D19/NºAsuntos!G19," - ")</f>
        <v>0.15739484396200815</v>
      </c>
      <c r="AO19" s="885">
        <f>IF(ISNUMBER((NºAsuntos!C19+NºAsuntos!E19)/NºAsuntos!G19),(NºAsuntos!C19+NºAsuntos!E19)/NºAsuntos!G19," - ")</f>
        <v>2.6187245590230663</v>
      </c>
      <c r="AP19" s="886" t="str">
        <f t="shared" si="2"/>
        <v xml:space="preserve"> - </v>
      </c>
      <c r="AQ19" s="887">
        <f>IF(OR(ISNUMBER(FIND("01",Criterios!A8,1)),ISNUMBER(FIND("02",Criterios!A8,1)),ISNUMBER(FIND("03",Criterios!A8,1)),ISNUMBER(FIND("04",Criterios!A8,1))),(I19-W19+K19)/(F19-K19),(H19-W19+K19)/(F19-K19))</f>
        <v>-0.74764150943396224</v>
      </c>
      <c r="AR19" s="888">
        <f>IF(ISNUMBER((Datos!P19-Datos!Q19)/(Datos!R19-Datos!P19+Datos!Q19)),(Datos!P19-Datos!Q19)/(Datos!R19-Datos!P19+Datos!Q19)," - ")</f>
        <v>-4.1825095057034217E-2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234.40420929098806</v>
      </c>
      <c r="G21" s="252">
        <f>IF(ISNUMBER(STDEV(G8:G18)),STDEV(G8:G18),"-")</f>
        <v>220.75053793818941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151.80480888298632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33.019186341681205</v>
      </c>
      <c r="AJ21" s="251">
        <f t="shared" si="18"/>
        <v>0</v>
      </c>
      <c r="AK21" s="253">
        <f t="shared" si="18"/>
        <v>0</v>
      </c>
      <c r="AL21" s="248">
        <f t="shared" si="18"/>
        <v>0.43404195007608309</v>
      </c>
      <c r="AM21" s="249">
        <f t="shared" si="18"/>
        <v>0.70057508898492504</v>
      </c>
      <c r="AN21" s="249">
        <f t="shared" si="18"/>
        <v>4.2833991897311435E-2</v>
      </c>
      <c r="AO21" s="250">
        <f t="shared" si="18"/>
        <v>0.34515344010485771</v>
      </c>
      <c r="AP21" s="290" t="str">
        <f t="shared" si="18"/>
        <v>-</v>
      </c>
      <c r="AQ21" s="291">
        <f t="shared" si="18"/>
        <v>2.1771694735328809E-2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10 dic. 2025</v>
      </c>
      <c r="D30" s="120"/>
    </row>
    <row r="32" spans="1:65">
      <c r="C32" s="1"/>
      <c r="D32" s="1"/>
    </row>
  </sheetData>
  <sheetProtection algorithmName="SHA-512" hashValue="a32OVOT4SrMSMtqq7IjW1vC6FMZKiEtfD8u1+dw0XgOLFKRqxVcAuAV45Pjz7p2Pep1COfc9Sc6E8oDVvXb3bw==" saltValue="UVKIE9GS/x8xsjrk6ZbxE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NAVARRA</v>
      </c>
      <c r="E2" s="262"/>
    </row>
    <row r="3" spans="2:20" ht="17.25" customHeight="1">
      <c r="C3" s="266"/>
      <c r="D3" s="261" t="str">
        <f>Criterios!A10 &amp;"  "&amp;Criterios!B10</f>
        <v>Provincias  NAVARRA</v>
      </c>
      <c r="E3" s="262"/>
    </row>
    <row r="4" spans="2:20" ht="17.25" customHeight="1" thickBot="1">
      <c r="D4" s="261" t="str">
        <f>Criterios!A11 &amp;"  "&amp;Criterios!B11</f>
        <v>Resumenes por Partidos Judiciales  TAFALLA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-0.18181818181818182</v>
      </c>
      <c r="E10" s="347">
        <f>IF(ISNUMBER((Datos!J10-Datos!T10)/Datos!T10),(Datos!J10-Datos!T10)/Datos!T10," - ")</f>
        <v>-0.125</v>
      </c>
      <c r="F10" s="347">
        <f>IF(ISNUMBER((Datos!K10-Datos!U10)/Datos!U10),(Datos!K10-Datos!U10)/Datos!U10," - ")</f>
        <v>1.3333333333333333</v>
      </c>
      <c r="G10" s="348">
        <f>IF(ISNUMBER((Datos!L10-Datos!V10)/Datos!V10),(Datos!L10-Datos!V10)/Datos!V10," - ")</f>
        <v>-0.4375</v>
      </c>
      <c r="H10" s="229">
        <f>IF(ISNUMBER((Datos!M10-Datos!W10)/Datos!W10),(Datos!M10-Datos!W10)/Datos!W10," - ")</f>
        <v>0</v>
      </c>
      <c r="I10" s="349">
        <f>IF(ISNUMBER((Tasas!C10-Datos!BE10)/Datos!BE10),(Tasas!C10-Datos!BE10)/Datos!BE10," - ")</f>
        <v>-0.7589285714285714</v>
      </c>
      <c r="J10" s="348">
        <f>IF(ISNUMBER((Tasas!D10-Datos!BF10)/Datos!BF10),(Tasas!D10-Datos!BF10)/Datos!BF10," - ")</f>
        <v>-0.5714285714285714</v>
      </c>
      <c r="K10" s="350">
        <f>IF(ISNUMBER((Tasas!E10-Datos!BG10)/Datos!BG10),(Tasas!E10-Datos!BG10)/Datos!BG10," - ")</f>
        <v>-0.63909774436090228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-0.39370078740157483</v>
      </c>
      <c r="I12" s="349">
        <f>IF(ISNUMBER((Tasas!C12-Datos!BE12)/Datos!BE12),(Tasas!C12-Datos!BE12)/Datos!BE12," - ")</f>
        <v>-8.973407544836115E-2</v>
      </c>
      <c r="J12" s="348">
        <f>IF(ISNUMBER((Tasas!D12-Datos!BF12)/Datos!BF12),(Tasas!D12-Datos!BF12)/Datos!BF12," - ")</f>
        <v>-0.30401234567901242</v>
      </c>
      <c r="K12" s="350">
        <f>IF(ISNUMBER((Tasas!E12-Datos!BG12)/Datos!BG12),(Tasas!E12-Datos!BG12)/Datos!BG12," - ")</f>
        <v>-5.8555286521388132E-2</v>
      </c>
      <c r="M12" t="e">
        <f>IF(Monitorios="SI",Datos!CE12,0)</f>
        <v>#REF!</v>
      </c>
      <c r="N12" t="e">
        <f>IF(Monitorios="SI",Datos!CF12,0)</f>
        <v>#REF!</v>
      </c>
      <c r="O12" t="e">
        <f>IF(Monitorios="SI",Datos!CG12,0)</f>
        <v>#REF!</v>
      </c>
      <c r="P12" t="e">
        <f>IF(Monitorios="SI",Datos!CH12,0)</f>
        <v>#REF!</v>
      </c>
      <c r="Q12">
        <f>IF(J_V="SI",0,Datos!AG12)</f>
        <v>16</v>
      </c>
      <c r="R12">
        <f>IF(J_V="SI",0,Datos!AH12)</f>
        <v>21</v>
      </c>
      <c r="S12">
        <f>IF(J_V="SI",0,Datos!AI12)</f>
        <v>28</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-0.390625</v>
      </c>
      <c r="I13" s="356">
        <f>IF(ISNUMBER((Tasas!C13-Datos!BE13)/Datos!BE13),(Tasas!C13-Datos!BE13)/Datos!BE13," - ")</f>
        <v>-0.10538939640428827</v>
      </c>
      <c r="J13" s="354">
        <f>IF(ISNUMBER((Tasas!D13-Datos!BF13)/Datos!BF13),(Tasas!D13-Datos!BF13)/Datos!BF13," - ")</f>
        <v>-0.30786584448789284</v>
      </c>
      <c r="K13" s="357">
        <f>IF(ISNUMBER((Tasas!E13-Datos!BG13)/Datos!BG13),(Tasas!E13-Datos!BG13)/Datos!BG13," - ")</f>
        <v>-6.908762766786529E-2</v>
      </c>
      <c r="M13" t="e">
        <f>IF(Monitorios="SI",Datos!CE13,0)</f>
        <v>#REF!</v>
      </c>
      <c r="N13" t="e">
        <f>IF(Monitorios="SI",Datos!CF13,0)</f>
        <v>#REF!</v>
      </c>
      <c r="O13" t="e">
        <f>IF(Monitorios="SI",Datos!CG13,0)</f>
        <v>#REF!</v>
      </c>
      <c r="P13" t="e">
        <f>IF(Monitorios="SI",Datos!CH13,0)</f>
        <v>#REF!</v>
      </c>
      <c r="Q13">
        <f>IF(J_V="SI",0,Datos!AG13)</f>
        <v>16</v>
      </c>
      <c r="R13">
        <f>IF(J_V="SI",0,Datos!AH13)</f>
        <v>21</v>
      </c>
      <c r="S13">
        <f>IF(J_V="SI",0,Datos!AI13)</f>
        <v>28</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-2.1739130434782608E-2</v>
      </c>
      <c r="E16" s="347">
        <f>IF(ISNUMBER(
   IF(D_I="SI",(Datos!J16-Datos!T16)/Datos!T16,(Datos!J16+Datos!AD16-(Datos!T16+Datos!AL16))/(Datos!T16+Datos!AL16))
     ),IF(D_I="SI",(Datos!J16-Datos!T16)/Datos!T16,(Datos!J16+Datos!AD16-(Datos!T16+Datos!AL16))/(Datos!T16+Datos!AL16))," - ")</f>
        <v>-0.13314447592067988</v>
      </c>
      <c r="F16" s="347">
        <f>IF(ISNUMBER(
   IF(D_I="SI",(Datos!K16-Datos!U16)/Datos!U16,(Datos!K16+Datos!AE16-(Datos!U16+Datos!AM16))/(Datos!U16+Datos!AM16))
     ),IF(D_I="SI",(Datos!K16-Datos!U16)/Datos!U16,(Datos!K16+Datos!AE16-(Datos!U16+Datos!AM16))/(Datos!U16+Datos!AM16))," - ")</f>
        <v>-0.35831381733021078</v>
      </c>
      <c r="G16" s="348">
        <f>IF(ISNUMBER(
   IF(D_I="SI",(Datos!L16-Datos!V16)/Datos!V16,(Datos!L16+Datos!AF16-(Datos!V16+Datos!AN16))/(Datos!V16+Datos!AN16))
     ),IF(D_I="SI",(Datos!L16-Datos!V16)/Datos!V16,(Datos!L16+Datos!AF16-(Datos!V16+Datos!AN16))/(Datos!V16+Datos!AN16))," - ")</f>
        <v>0.30701754385964913</v>
      </c>
      <c r="H16" s="229">
        <f>IF(ISNUMBER((Datos!M16-Datos!W16)/Datos!W16),(Datos!M16-Datos!W16)/Datos!W16," - ")</f>
        <v>-0.5161290322580645</v>
      </c>
      <c r="I16" s="349">
        <f>IF(ISNUMBER((Tasas!C16-Datos!BE16)/Datos!BE16),(Tasas!C16-Datos!BE16)/Datos!BE16," - ")</f>
        <v>1.036848508131643</v>
      </c>
      <c r="J16" s="348">
        <f>IF(ISNUMBER((Tasas!D16-Datos!BF16)/Datos!BF16),(Tasas!D16-Datos!BF16)/Datos!BF16," - ")</f>
        <v>-0.24593830939486691</v>
      </c>
      <c r="K16" s="350">
        <f>IF(ISNUMBER((Tasas!E16-Datos!BG16)/Datos!BG16),(Tasas!E16-Datos!BG16)/Datos!BG16," - ")</f>
        <v>0.44461310061953402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-4.3478260869565216E-2</v>
      </c>
      <c r="E17" s="347">
        <f>IF(ISNUMBER(
   IF(D_I="SI",(Datos!J17-Datos!T17)/Datos!T17,(Datos!J17+Datos!AD17-(Datos!T17+Datos!AL17))/(Datos!T17+Datos!AL17))
     ),IF(D_I="SI",(Datos!J17-Datos!T17)/Datos!T17,(Datos!J17+Datos!AD17-(Datos!T17+Datos!AL17))/(Datos!T17+Datos!AL17))," - ")</f>
        <v>0.13157894736842105</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0.16</v>
      </c>
      <c r="H17" s="229">
        <f>IF(ISNUMBER((Datos!M17-Datos!W17)/Datos!W17),(Datos!M17-Datos!W17)/Datos!W17," - ")</f>
        <v>1</v>
      </c>
      <c r="I17" s="349">
        <f>IF(ISNUMBER((Tasas!C17-Datos!BE17)/Datos!BE17),(Tasas!C17-Datos!BE17)/Datos!BE17," - ")</f>
        <v>0.16000000000000009</v>
      </c>
      <c r="J17" s="348">
        <f>IF(ISNUMBER((Tasas!D17-Datos!BF17)/Datos!BF17),(Tasas!D17-Datos!BF17)/Datos!BF17," - ")</f>
        <v>1</v>
      </c>
      <c r="K17" s="350">
        <f>IF(ISNUMBER((Tasas!E17-Datos!BG17)/Datos!BG17),(Tasas!E17-Datos!BG17)/Datos!BG17," - ")</f>
        <v>6.557377049180331E-2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-2.2883295194508008E-2</v>
      </c>
      <c r="E18" s="353">
        <f>IF(ISNUMBER(
   IF(D_I="SI",(Datos!J18-Datos!T18)/Datos!T18,(Datos!J18+Datos!AD18-(Datos!T18+Datos!AL18))/(Datos!T18+Datos!AL18))
     ),IF(D_I="SI",(Datos!J18-Datos!T18)/Datos!T18,(Datos!J18+Datos!AD18-(Datos!T18+Datos!AL18))/(Datos!T18+Datos!AL18))," - ")</f>
        <v>-0.10741687979539642</v>
      </c>
      <c r="F18" s="353">
        <f>IF(ISNUMBER(
   IF(D_I="SI",(Datos!K18-Datos!U18)/Datos!U18,(Datos!K18+Datos!AE18-(Datos!U18+Datos!AM18))/(Datos!U18+Datos!AM18))
     ),IF(D_I="SI",(Datos!K18-Datos!U18)/Datos!U18,(Datos!K18+Datos!AE18-(Datos!U18+Datos!AM18))/(Datos!U18+Datos!AM18))," - ")</f>
        <v>-0.33045356371490281</v>
      </c>
      <c r="G18" s="354">
        <f>IF(ISNUMBER(
   IF(D_I="SI",(Datos!L18-Datos!V18)/Datos!V18,(Datos!L18+Datos!AF18-(Datos!V18+Datos!AN18))/(Datos!V18+Datos!AN18))
     ),IF(D_I="SI",(Datos!L18-Datos!V18)/Datos!V18,(Datos!L18+Datos!AF18-(Datos!V18+Datos!AN18))/(Datos!V18+Datos!AN18))," - ")</f>
        <v>0.29700272479564033</v>
      </c>
      <c r="H18" s="355">
        <f>IF(ISNUMBER((Datos!M18-Datos!W18)/Datos!W18),(Datos!M18-Datos!W18)/Datos!W18," - ")</f>
        <v>-0.42424242424242425</v>
      </c>
      <c r="I18" s="356">
        <f>IF(ISNUMBER((Tasas!C18-Datos!BE18)/Datos!BE18),(Tasas!C18-Datos!BE18)/Datos!BE18," - ")</f>
        <v>0.93713632767864985</v>
      </c>
      <c r="J18" s="354">
        <f>IF(ISNUMBER((Tasas!D18-Datos!BF18)/Datos!BF18),(Tasas!D18-Datos!BF18)/Datos!BF18," - ")</f>
        <v>-0.14007820136852403</v>
      </c>
      <c r="K18" s="357">
        <f>IF(ISNUMBER((Tasas!E18-Datos!BG18)/Datos!BG18),(Tasas!E18-Datos!BG18)/Datos!BG18," - ")</f>
        <v>0.39975066230325701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9.9752679307502062E-2</v>
      </c>
      <c r="E19" s="362">
        <f>IF(ISNUMBER(
   IF(J_V="SI",(Datos!J19-Datos!T19)/Datos!T19,(Datos!J19+Datos!Z19-(Datos!T19+Datos!AH19))/(Datos!T19+Datos!AH19))
     ),IF(J_V="SI",(Datos!J19-Datos!T19)/Datos!T19,(Datos!J19+Datos!Z19-(Datos!T19+Datos!AH19))/(Datos!T19+Datos!AH19))," - ")</f>
        <v>-0.26781326781326781</v>
      </c>
      <c r="F19" s="362">
        <f>IF(ISNUMBER(
   IF(J_V="SI",(Datos!K19-Datos!U19)/Datos!U19,(Datos!K19+Datos!AA19-(Datos!U19+Datos!AI19))/(Datos!U19+Datos!AI19))
     ),IF(J_V="SI",(Datos!K19-Datos!U19)/Datos!U19,(Datos!K19+Datos!AA19-(Datos!U19+Datos!AI19))/(Datos!U19+Datos!AI19))," - ")</f>
        <v>-0.158675799086758</v>
      </c>
      <c r="G19" s="363">
        <f>IF(ISNUMBER(
   IF(J_V="SI",(Datos!L19-Datos!V19)/Datos!V19,(Datos!L19+Datos!AB19-(Datos!V19+Datos!AJ19))/(Datos!V19+Datos!AJ19))
     ),IF(J_V="SI",(Datos!L19-Datos!V19)/Datos!V19,(Datos!L19+Datos!AB19-(Datos!V19+Datos!AJ19))/(Datos!V19+Datos!AJ19))," - ")</f>
        <v>4.3365134431916738E-2</v>
      </c>
      <c r="H19" s="364">
        <f>IF(ISNUMBER((Datos!M19-Datos!W19)/Datos!W19),(Datos!M19-Datos!W19)/Datos!W19," - ")</f>
        <v>-0.40206185567010311</v>
      </c>
      <c r="I19" s="361">
        <f>IF(ISNUMBER((Tasas!C19-Datos!BE19)/Datos!BE19),(Tasas!C19-Datos!BE19)/Datos!BE19," - ")</f>
        <v>0.24014634703169482</v>
      </c>
      <c r="J19" s="362">
        <f>IF(ISNUMBER((Tasas!D19-Datos!BF19)/Datos!BF19),(Tasas!D19-Datos!BF19)/Datos!BF19," - ")</f>
        <v>-0.21212638108160495</v>
      </c>
      <c r="K19" s="363">
        <f>IF(ISNUMBER((Tasas!E19-Datos!BG19)/Datos!BG19),(Tasas!E19-Datos!BG19)/Datos!BG19," - ")</f>
        <v>0.13172309506867588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7.6877384040091812E-2</v>
      </c>
      <c r="E21" s="277">
        <f t="shared" si="1"/>
        <v>0.12717037793148558</v>
      </c>
      <c r="F21" s="277">
        <f t="shared" si="1"/>
        <v>0.79822716284841699</v>
      </c>
      <c r="G21" s="278">
        <f t="shared" si="1"/>
        <v>0.35252554012107445</v>
      </c>
      <c r="H21" s="284">
        <f t="shared" si="1"/>
        <v>0.57730892894633357</v>
      </c>
      <c r="I21" s="276">
        <f t="shared" si="1"/>
        <v>0.68439327856000676</v>
      </c>
      <c r="J21" s="277">
        <f t="shared" si="1"/>
        <v>0.55494532221186277</v>
      </c>
      <c r="K21" s="278">
        <f t="shared" si="1"/>
        <v>0.39370331770492661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10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HLmMvryjKV3W2khUUal9rqdXzqpJKiBvpmXe7vecwWRBo2ON0fCYnv9eXekjy9Y7cgJYlvyrC0COpYsnMXKw==" saltValue="7ElfKDrK9+idvQHlEjAfA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2025-12-09T23:09:04Z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